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DeTrabalho"/>
  <mc:AlternateContent xmlns:mc="http://schemas.openxmlformats.org/markup-compatibility/2006">
    <mc:Choice Requires="x15">
      <x15ac:absPath xmlns:x15ac="http://schemas.microsoft.com/office/spreadsheetml/2010/11/ac" url="U:\SEORC\PESQUISAS DE PREÇOS\2020\00200.018948-2017-11 - Espaço do Servidor - 1ª etapa\"/>
    </mc:Choice>
  </mc:AlternateContent>
  <bookViews>
    <workbookView xWindow="-120" yWindow="-120" windowWidth="29040" windowHeight="15840" tabRatio="858"/>
  </bookViews>
  <sheets>
    <sheet name="Orçamentária" sheetId="8" r:id="rId1"/>
    <sheet name="Composições" sheetId="5" r:id="rId2"/>
    <sheet name="Comp.Aux1" sheetId="6" r:id="rId3"/>
    <sheet name="Comp.Aux2" sheetId="7" r:id="rId4"/>
    <sheet name="BDI" sheetId="9" r:id="rId5"/>
  </sheets>
  <definedNames>
    <definedName name="_xlnm._FilterDatabase" localSheetId="2" hidden="1">'Comp.Aux1'!$A$5:$K$361</definedName>
    <definedName name="_xlnm._FilterDatabase" localSheetId="3" hidden="1">'Comp.Aux2'!$A$5:$K$33</definedName>
    <definedName name="_xlnm._FilterDatabase" localSheetId="1" hidden="1">Composições!$A$5:$L$4423</definedName>
    <definedName name="_xlnm._FilterDatabase" localSheetId="0" hidden="1">Orçamentária!$A$5:$I$1239</definedName>
    <definedName name="_xlnm.Print_Area" localSheetId="2">'Comp.Aux1'!$A$2:$I$362</definedName>
    <definedName name="_xlnm.Print_Area" localSheetId="3">'Comp.Aux2'!$A$1:$I$34</definedName>
    <definedName name="_xlnm.Print_Area" localSheetId="1">Composições!$A$1:$J$4424</definedName>
    <definedName name="_xlnm.Print_Area" localSheetId="0">Orçamentária!$A$1:$I$1245</definedName>
    <definedName name="Arial">#REF!</definedName>
    <definedName name="_xlnm.Print_Titles" localSheetId="2">'Comp.Aux1'!$1:$5</definedName>
    <definedName name="_xlnm.Print_Titles" localSheetId="3">'Comp.Aux2'!$1:$5</definedName>
    <definedName name="_xlnm.Print_Titles" localSheetId="1">Composições!$1:$5</definedName>
    <definedName name="_xlnm.Print_Titles" localSheetId="0">Orçamentária!$1:$5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91" i="8" l="1"/>
  <c r="G1084" i="8"/>
  <c r="G1072" i="8"/>
  <c r="G1068" i="8"/>
  <c r="G1063" i="8"/>
  <c r="G1015" i="8"/>
  <c r="G357" i="8"/>
  <c r="G290" i="8"/>
  <c r="G20" i="8"/>
  <c r="G1085" i="8"/>
  <c r="G1082" i="8"/>
  <c r="G1079" i="8"/>
  <c r="G1078" i="8"/>
  <c r="G1077" i="8"/>
  <c r="G1076" i="8"/>
  <c r="G1075" i="8"/>
  <c r="G1074" i="8"/>
  <c r="G1073" i="8"/>
  <c r="G1071" i="8"/>
  <c r="G1070" i="8"/>
  <c r="G1069" i="8"/>
  <c r="G1067" i="8"/>
  <c r="G1066" i="8"/>
  <c r="G1065" i="8"/>
  <c r="G1064" i="8"/>
  <c r="G992" i="8"/>
  <c r="G951" i="8"/>
  <c r="G850" i="8"/>
  <c r="G413" i="8"/>
  <c r="G384" i="8"/>
  <c r="G383" i="8"/>
  <c r="G381" i="8"/>
  <c r="G380" i="8"/>
  <c r="G378" i="8"/>
  <c r="G375" i="8"/>
  <c r="G373" i="8"/>
  <c r="G364" i="8"/>
  <c r="G289" i="8"/>
  <c r="G287" i="8"/>
  <c r="G286" i="8"/>
  <c r="G285" i="8"/>
  <c r="G283" i="8"/>
  <c r="G278" i="8"/>
  <c r="G277" i="8"/>
  <c r="G276" i="8"/>
  <c r="G274" i="8"/>
  <c r="G269" i="8"/>
  <c r="G268" i="8"/>
  <c r="G267" i="8"/>
  <c r="G266" i="8"/>
  <c r="G265" i="8"/>
  <c r="G263" i="8"/>
  <c r="G260" i="8"/>
  <c r="G259" i="8"/>
  <c r="G257" i="8"/>
  <c r="G256" i="8"/>
  <c r="G253" i="8"/>
  <c r="G251" i="8"/>
  <c r="G249" i="8"/>
  <c r="G242" i="8"/>
  <c r="G241" i="8"/>
  <c r="G237" i="8"/>
  <c r="G236" i="8"/>
  <c r="G234" i="8"/>
  <c r="G233" i="8"/>
  <c r="G232" i="8"/>
  <c r="G229" i="8"/>
  <c r="G219" i="8"/>
  <c r="G213" i="8"/>
  <c r="G206" i="8"/>
  <c r="G205" i="8"/>
  <c r="G202" i="8"/>
  <c r="G198" i="8"/>
  <c r="G197" i="8"/>
  <c r="G184" i="8"/>
  <c r="G182" i="8"/>
  <c r="G181" i="8"/>
  <c r="G180" i="8"/>
  <c r="G179" i="8"/>
  <c r="G177" i="8"/>
  <c r="G176" i="8"/>
  <c r="G175" i="8"/>
  <c r="G174" i="8"/>
  <c r="G173" i="8"/>
  <c r="G172" i="8"/>
  <c r="G163" i="8"/>
  <c r="G162" i="8"/>
  <c r="G159" i="8"/>
  <c r="G155" i="8"/>
  <c r="G149" i="8"/>
  <c r="G144" i="8"/>
  <c r="G131" i="8"/>
  <c r="G129" i="8"/>
  <c r="G123" i="8"/>
  <c r="G114" i="8"/>
  <c r="G111" i="8"/>
  <c r="G109" i="8"/>
  <c r="G108" i="8"/>
  <c r="G107" i="8"/>
  <c r="G106" i="8"/>
  <c r="G105" i="8"/>
  <c r="G104" i="8"/>
  <c r="G103" i="8"/>
  <c r="G102" i="8"/>
  <c r="G101" i="8"/>
  <c r="G98" i="8"/>
  <c r="G96" i="8"/>
  <c r="G91" i="8"/>
  <c r="G89" i="8"/>
  <c r="G88" i="8"/>
  <c r="G87" i="8"/>
  <c r="G86" i="8"/>
  <c r="G85" i="8"/>
  <c r="G83" i="8"/>
  <c r="G82" i="8"/>
  <c r="G81" i="8"/>
  <c r="G80" i="8"/>
  <c r="G79" i="8"/>
  <c r="G78" i="8"/>
  <c r="G75" i="8"/>
  <c r="G54" i="8"/>
  <c r="G51" i="8"/>
  <c r="G50" i="8"/>
  <c r="G48" i="8"/>
  <c r="G44" i="8"/>
  <c r="G38" i="8"/>
  <c r="G37" i="8"/>
  <c r="G36" i="8"/>
  <c r="G34" i="8"/>
  <c r="G33" i="8"/>
  <c r="G31" i="8"/>
  <c r="G22" i="8"/>
  <c r="G18" i="8"/>
  <c r="G16" i="8"/>
  <c r="G15" i="8"/>
  <c r="G14" i="8"/>
  <c r="G12" i="8"/>
  <c r="G11" i="8"/>
  <c r="G10" i="8"/>
  <c r="G9" i="8"/>
  <c r="G8" i="8"/>
  <c r="G7" i="8"/>
  <c r="G6" i="8"/>
  <c r="E4417" i="5" l="1"/>
  <c r="E3795" i="5" l="1"/>
  <c r="F2564" i="5"/>
  <c r="F2559" i="5"/>
  <c r="I2568" i="5"/>
  <c r="I2565" i="5"/>
  <c r="D2564" i="5"/>
  <c r="B2564" i="5"/>
  <c r="I2563" i="5"/>
  <c r="I2560" i="5"/>
  <c r="D2559" i="5"/>
  <c r="B2559" i="5"/>
  <c r="I2564" i="5" l="1"/>
  <c r="I2559" i="5"/>
  <c r="A1" i="9" l="1"/>
  <c r="D4419" i="5"/>
  <c r="B4419" i="5"/>
  <c r="D4408" i="5"/>
  <c r="B4408" i="5"/>
  <c r="D4400" i="5"/>
  <c r="B4400" i="5"/>
  <c r="D4394" i="5"/>
  <c r="B4394" i="5"/>
  <c r="D4382" i="5"/>
  <c r="B4382" i="5"/>
  <c r="D4373" i="5"/>
  <c r="B4373" i="5"/>
  <c r="D4365" i="5"/>
  <c r="B4365" i="5"/>
  <c r="D4359" i="5"/>
  <c r="B4359" i="5"/>
  <c r="D4349" i="5"/>
  <c r="B4349" i="5"/>
  <c r="D4341" i="5"/>
  <c r="B4341" i="5"/>
  <c r="D4333" i="5"/>
  <c r="B4333" i="5"/>
  <c r="D4327" i="5"/>
  <c r="B4327" i="5"/>
  <c r="D4319" i="5"/>
  <c r="B4319" i="5"/>
  <c r="D4307" i="5"/>
  <c r="B4307" i="5"/>
  <c r="D4301" i="5"/>
  <c r="B4301" i="5"/>
  <c r="D4293" i="5"/>
  <c r="B4293" i="5"/>
  <c r="D4284" i="5"/>
  <c r="B4284" i="5"/>
  <c r="D4276" i="5"/>
  <c r="B4276" i="5"/>
  <c r="D4257" i="5"/>
  <c r="B4257" i="5"/>
  <c r="D4245" i="5"/>
  <c r="B4245" i="5"/>
  <c r="D4233" i="5"/>
  <c r="B4233" i="5"/>
  <c r="D4227" i="5"/>
  <c r="B4227" i="5"/>
  <c r="D4221" i="5"/>
  <c r="B4221" i="5"/>
  <c r="D4213" i="5"/>
  <c r="B4213" i="5"/>
  <c r="D4207" i="5"/>
  <c r="B4207" i="5"/>
  <c r="D4202" i="5"/>
  <c r="B4202" i="5"/>
  <c r="D4197" i="5"/>
  <c r="B4197" i="5"/>
  <c r="D4191" i="5"/>
  <c r="B4191" i="5"/>
  <c r="D4183" i="5"/>
  <c r="B4183" i="5"/>
  <c r="D4177" i="5"/>
  <c r="B4177" i="5"/>
  <c r="D4159" i="5"/>
  <c r="B4159" i="5"/>
  <c r="D4153" i="5"/>
  <c r="B4153" i="5"/>
  <c r="D4144" i="5"/>
  <c r="B4144" i="5"/>
  <c r="D4128" i="5"/>
  <c r="B4128" i="5"/>
  <c r="D4120" i="5"/>
  <c r="B4120" i="5"/>
  <c r="D4110" i="5"/>
  <c r="B4110" i="5"/>
  <c r="D4100" i="5"/>
  <c r="B4100" i="5"/>
  <c r="D4090" i="5"/>
  <c r="B4090" i="5"/>
  <c r="D4082" i="5"/>
  <c r="B4082" i="5"/>
  <c r="D4074" i="5"/>
  <c r="B4074" i="5"/>
  <c r="D4064" i="5"/>
  <c r="B4064" i="5"/>
  <c r="D4055" i="5"/>
  <c r="B4055" i="5"/>
  <c r="D4046" i="5"/>
  <c r="B4046" i="5"/>
  <c r="D4037" i="5"/>
  <c r="B4037" i="5"/>
  <c r="D4028" i="5"/>
  <c r="B4028" i="5"/>
  <c r="D4018" i="5"/>
  <c r="B4018" i="5"/>
  <c r="D4011" i="5"/>
  <c r="B4011" i="5"/>
  <c r="D3984" i="5"/>
  <c r="B3984" i="5"/>
  <c r="D3968" i="5"/>
  <c r="B3968" i="5"/>
  <c r="D3959" i="5"/>
  <c r="B3959" i="5"/>
  <c r="D3949" i="5"/>
  <c r="B3949" i="5"/>
  <c r="D3944" i="5"/>
  <c r="B3944" i="5"/>
  <c r="D3936" i="5"/>
  <c r="B3936" i="5"/>
  <c r="D3929" i="5"/>
  <c r="B3929" i="5"/>
  <c r="D3923" i="5"/>
  <c r="B3923" i="5"/>
  <c r="D3915" i="5"/>
  <c r="B3915" i="5"/>
  <c r="D3909" i="5"/>
  <c r="B3909" i="5"/>
  <c r="D3899" i="5"/>
  <c r="B3899" i="5"/>
  <c r="D3893" i="5"/>
  <c r="B3893" i="5"/>
  <c r="D3887" i="5"/>
  <c r="B3887" i="5"/>
  <c r="D3881" i="5"/>
  <c r="B3881" i="5"/>
  <c r="D3874" i="5"/>
  <c r="B3874" i="5"/>
  <c r="D3867" i="5"/>
  <c r="B3867" i="5"/>
  <c r="D3863" i="5"/>
  <c r="B3863" i="5"/>
  <c r="D3851" i="5"/>
  <c r="B3851" i="5"/>
  <c r="D3843" i="5"/>
  <c r="B3843" i="5"/>
  <c r="D3836" i="5"/>
  <c r="B3836" i="5"/>
  <c r="D3828" i="5"/>
  <c r="B3828" i="5"/>
  <c r="D3820" i="5"/>
  <c r="B3820" i="5"/>
  <c r="D3812" i="5"/>
  <c r="B3812" i="5"/>
  <c r="D3804" i="5"/>
  <c r="B3804" i="5"/>
  <c r="D3797" i="5"/>
  <c r="B3797" i="5"/>
  <c r="D3793" i="5"/>
  <c r="B3793" i="5"/>
  <c r="D3787" i="5"/>
  <c r="B3787" i="5"/>
  <c r="D3780" i="5"/>
  <c r="B3780" i="5"/>
  <c r="D3774" i="5"/>
  <c r="B3774" i="5"/>
  <c r="D3768" i="5"/>
  <c r="B3768" i="5"/>
  <c r="D3759" i="5"/>
  <c r="B3759" i="5"/>
  <c r="D3750" i="5"/>
  <c r="B3750" i="5"/>
  <c r="D3741" i="5"/>
  <c r="B3741" i="5"/>
  <c r="D3732" i="5"/>
  <c r="B3732" i="5"/>
  <c r="D3723" i="5"/>
  <c r="B3723" i="5"/>
  <c r="D3714" i="5"/>
  <c r="B3714" i="5"/>
  <c r="D3710" i="5"/>
  <c r="B3710" i="5"/>
  <c r="D3706" i="5"/>
  <c r="B3706" i="5"/>
  <c r="D3701" i="5"/>
  <c r="B3701" i="5"/>
  <c r="D3688" i="5"/>
  <c r="B3688" i="5"/>
  <c r="D3675" i="5"/>
  <c r="B3675" i="5"/>
  <c r="D3667" i="5"/>
  <c r="B3667" i="5"/>
  <c r="D3660" i="5"/>
  <c r="B3660" i="5"/>
  <c r="D3652" i="5"/>
  <c r="B3652" i="5"/>
  <c r="D3645" i="5"/>
  <c r="B3645" i="5"/>
  <c r="D3636" i="5"/>
  <c r="B3636" i="5"/>
  <c r="D3629" i="5"/>
  <c r="B3629" i="5"/>
  <c r="D3623" i="5"/>
  <c r="B3623" i="5"/>
  <c r="D3617" i="5"/>
  <c r="B3617" i="5"/>
  <c r="D3611" i="5"/>
  <c r="B3611" i="5"/>
  <c r="D3595" i="5"/>
  <c r="B3595" i="5"/>
  <c r="D3588" i="5"/>
  <c r="B3588" i="5"/>
  <c r="D3573" i="5"/>
  <c r="B3573" i="5"/>
  <c r="D3561" i="5"/>
  <c r="B3561" i="5"/>
  <c r="D3553" i="5"/>
  <c r="B3553" i="5"/>
  <c r="D3544" i="5"/>
  <c r="B3544" i="5"/>
  <c r="D3536" i="5"/>
  <c r="B3536" i="5"/>
  <c r="D3525" i="5"/>
  <c r="B3525" i="5"/>
  <c r="D3520" i="5"/>
  <c r="B3520" i="5"/>
  <c r="D3514" i="5"/>
  <c r="B3514" i="5"/>
  <c r="D3510" i="5"/>
  <c r="B3510" i="5"/>
  <c r="D3506" i="5"/>
  <c r="B3506" i="5"/>
  <c r="D3502" i="5"/>
  <c r="B3502" i="5"/>
  <c r="D3493" i="5"/>
  <c r="B3493" i="5"/>
  <c r="D3484" i="5"/>
  <c r="B3484" i="5"/>
  <c r="D3479" i="5"/>
  <c r="B3479" i="5"/>
  <c r="D3469" i="5"/>
  <c r="B3469" i="5"/>
  <c r="D3465" i="5"/>
  <c r="B3465" i="5"/>
  <c r="D3454" i="5"/>
  <c r="B3454" i="5"/>
  <c r="D3441" i="5"/>
  <c r="B3441" i="5"/>
  <c r="D3429" i="5"/>
  <c r="B3429" i="5"/>
  <c r="D3421" i="5"/>
  <c r="B3421" i="5"/>
  <c r="D3406" i="5"/>
  <c r="B3406" i="5"/>
  <c r="D3402" i="5"/>
  <c r="B3402" i="5"/>
  <c r="D3398" i="5"/>
  <c r="B3398" i="5"/>
  <c r="D3390" i="5"/>
  <c r="B3390" i="5"/>
  <c r="D3385" i="5"/>
  <c r="B3385" i="5"/>
  <c r="D3380" i="5"/>
  <c r="B3380" i="5"/>
  <c r="D3371" i="5"/>
  <c r="B3371" i="5"/>
  <c r="D3365" i="5"/>
  <c r="B3365" i="5"/>
  <c r="D3358" i="5"/>
  <c r="B3358" i="5"/>
  <c r="D3352" i="5"/>
  <c r="B3352" i="5"/>
  <c r="D3344" i="5"/>
  <c r="B3344" i="5"/>
  <c r="D3339" i="5"/>
  <c r="B3339" i="5"/>
  <c r="D3332" i="5"/>
  <c r="B3332" i="5"/>
  <c r="D3324" i="5"/>
  <c r="B3324" i="5"/>
  <c r="D3318" i="5"/>
  <c r="B3318" i="5"/>
  <c r="D3312" i="5"/>
  <c r="B3312" i="5"/>
  <c r="D3296" i="5"/>
  <c r="B3296" i="5"/>
  <c r="D3289" i="5"/>
  <c r="B3289" i="5"/>
  <c r="D3277" i="5"/>
  <c r="B3277" i="5"/>
  <c r="D3260" i="5"/>
  <c r="B3260" i="5"/>
  <c r="D3252" i="5"/>
  <c r="B3252" i="5"/>
  <c r="D3235" i="5"/>
  <c r="B3235" i="5"/>
  <c r="D3227" i="5"/>
  <c r="B3227" i="5"/>
  <c r="D3216" i="5"/>
  <c r="B3216" i="5"/>
  <c r="D3206" i="5"/>
  <c r="B3206" i="5"/>
  <c r="D3202" i="5"/>
  <c r="B3202" i="5"/>
  <c r="D3198" i="5"/>
  <c r="B3198" i="5"/>
  <c r="D3193" i="5"/>
  <c r="B3193" i="5"/>
  <c r="D3188" i="5"/>
  <c r="B3188" i="5"/>
  <c r="D3183" i="5"/>
  <c r="B3183" i="5"/>
  <c r="D3176" i="5"/>
  <c r="B3176" i="5"/>
  <c r="D3169" i="5"/>
  <c r="B3169" i="5"/>
  <c r="D3163" i="5"/>
  <c r="B3163" i="5"/>
  <c r="D3158" i="5"/>
  <c r="B3158" i="5"/>
  <c r="D3154" i="5"/>
  <c r="B3154" i="5"/>
  <c r="D3149" i="5"/>
  <c r="B3149" i="5"/>
  <c r="D3145" i="5"/>
  <c r="B3145" i="5"/>
  <c r="D3141" i="5"/>
  <c r="B3141" i="5"/>
  <c r="D3134" i="5"/>
  <c r="B3134" i="5"/>
  <c r="D3127" i="5"/>
  <c r="B3127" i="5"/>
  <c r="D3120" i="5"/>
  <c r="B3120" i="5"/>
  <c r="D3115" i="5"/>
  <c r="B3115" i="5"/>
  <c r="D3106" i="5"/>
  <c r="B3106" i="5"/>
  <c r="D3100" i="5"/>
  <c r="B3100" i="5"/>
  <c r="D3094" i="5"/>
  <c r="B3094" i="5"/>
  <c r="D3087" i="5"/>
  <c r="B3087" i="5"/>
  <c r="D3080" i="5"/>
  <c r="B3080" i="5"/>
  <c r="D3073" i="5"/>
  <c r="B3073" i="5"/>
  <c r="D3066" i="5"/>
  <c r="B3066" i="5"/>
  <c r="D3059" i="5"/>
  <c r="B3059" i="5"/>
  <c r="D3052" i="5"/>
  <c r="B3052" i="5"/>
  <c r="D3045" i="5"/>
  <c r="B3045" i="5"/>
  <c r="D3038" i="5"/>
  <c r="B3038" i="5"/>
  <c r="D3031" i="5"/>
  <c r="B3031" i="5"/>
  <c r="D3024" i="5"/>
  <c r="B3024" i="5"/>
  <c r="D3019" i="5"/>
  <c r="B3019" i="5"/>
  <c r="D3009" i="5"/>
  <c r="B3009" i="5"/>
  <c r="D3003" i="5"/>
  <c r="B3003" i="5"/>
  <c r="D2997" i="5"/>
  <c r="B2997" i="5"/>
  <c r="D2991" i="5"/>
  <c r="B2991" i="5"/>
  <c r="D2978" i="5"/>
  <c r="B2978" i="5"/>
  <c r="D2971" i="5"/>
  <c r="B2971" i="5"/>
  <c r="D2967" i="5"/>
  <c r="B2967" i="5"/>
  <c r="D2962" i="5"/>
  <c r="B2962" i="5"/>
  <c r="D2954" i="5"/>
  <c r="B2954" i="5"/>
  <c r="D2946" i="5"/>
  <c r="B2946" i="5"/>
  <c r="D2940" i="5"/>
  <c r="B2940" i="5"/>
  <c r="D2935" i="5"/>
  <c r="B2935" i="5"/>
  <c r="D2928" i="5"/>
  <c r="B2928" i="5"/>
  <c r="D2922" i="5"/>
  <c r="B2922" i="5"/>
  <c r="D2916" i="5"/>
  <c r="B2916" i="5"/>
  <c r="D2909" i="5"/>
  <c r="B2909" i="5"/>
  <c r="D2902" i="5"/>
  <c r="B2902" i="5"/>
  <c r="D2896" i="5"/>
  <c r="B2896" i="5"/>
  <c r="D2891" i="5"/>
  <c r="B2891" i="5"/>
  <c r="D2886" i="5"/>
  <c r="B2886" i="5"/>
  <c r="D2881" i="5"/>
  <c r="B2881" i="5"/>
  <c r="D2876" i="5"/>
  <c r="B2876" i="5"/>
  <c r="D2871" i="5"/>
  <c r="B2871" i="5"/>
  <c r="D2866" i="5"/>
  <c r="B2866" i="5"/>
  <c r="D2861" i="5"/>
  <c r="B2861" i="5"/>
  <c r="D2856" i="5"/>
  <c r="B2856" i="5"/>
  <c r="D2851" i="5"/>
  <c r="B2851" i="5"/>
  <c r="D2843" i="5"/>
  <c r="B2843" i="5"/>
  <c r="D2838" i="5"/>
  <c r="B2838" i="5"/>
  <c r="D2831" i="5"/>
  <c r="B2831" i="5"/>
  <c r="D2827" i="5"/>
  <c r="B2827" i="5"/>
  <c r="D2819" i="5"/>
  <c r="B2819" i="5"/>
  <c r="D2814" i="5"/>
  <c r="B2814" i="5"/>
  <c r="D2806" i="5"/>
  <c r="B2806" i="5"/>
  <c r="D2801" i="5"/>
  <c r="B2801" i="5"/>
  <c r="D2796" i="5"/>
  <c r="B2796" i="5"/>
  <c r="D2791" i="5"/>
  <c r="B2791" i="5"/>
  <c r="D2786" i="5"/>
  <c r="B2786" i="5"/>
  <c r="D2781" i="5"/>
  <c r="B2781" i="5"/>
  <c r="D2776" i="5"/>
  <c r="B2776" i="5"/>
  <c r="D2771" i="5"/>
  <c r="B2771" i="5"/>
  <c r="D2766" i="5"/>
  <c r="B2766" i="5"/>
  <c r="D2761" i="5"/>
  <c r="B2761" i="5"/>
  <c r="D2754" i="5"/>
  <c r="B2754" i="5"/>
  <c r="D2749" i="5"/>
  <c r="B2749" i="5"/>
  <c r="D2744" i="5"/>
  <c r="B2744" i="5"/>
  <c r="D2739" i="5"/>
  <c r="B2739" i="5"/>
  <c r="D2734" i="5"/>
  <c r="B2734" i="5"/>
  <c r="D2729" i="5"/>
  <c r="B2729" i="5"/>
  <c r="D2724" i="5"/>
  <c r="B2724" i="5"/>
  <c r="D2719" i="5"/>
  <c r="B2719" i="5"/>
  <c r="D2714" i="5"/>
  <c r="B2714" i="5"/>
  <c r="D2709" i="5"/>
  <c r="B2709" i="5"/>
  <c r="D2704" i="5"/>
  <c r="B2704" i="5"/>
  <c r="D2696" i="5"/>
  <c r="B2696" i="5"/>
  <c r="D2688" i="5"/>
  <c r="B2688" i="5"/>
  <c r="D2680" i="5"/>
  <c r="B2680" i="5"/>
  <c r="D2672" i="5"/>
  <c r="B2672" i="5"/>
  <c r="D2664" i="5"/>
  <c r="B2664" i="5"/>
  <c r="D2659" i="5"/>
  <c r="B2659" i="5"/>
  <c r="D2654" i="5"/>
  <c r="B2654" i="5"/>
  <c r="D2649" i="5"/>
  <c r="B2649" i="5"/>
  <c r="D2638" i="5"/>
  <c r="B2638" i="5"/>
  <c r="D2633" i="5"/>
  <c r="B2633" i="5"/>
  <c r="D2628" i="5"/>
  <c r="B2628" i="5"/>
  <c r="D2623" i="5"/>
  <c r="B2623" i="5"/>
  <c r="D2618" i="5"/>
  <c r="B2618" i="5"/>
  <c r="D2613" i="5"/>
  <c r="B2613" i="5"/>
  <c r="D2608" i="5"/>
  <c r="B2608" i="5"/>
  <c r="D2603" i="5"/>
  <c r="B2603" i="5"/>
  <c r="D2598" i="5"/>
  <c r="B2598" i="5"/>
  <c r="D2591" i="5"/>
  <c r="B2591" i="5"/>
  <c r="D2586" i="5"/>
  <c r="B2586" i="5"/>
  <c r="D2581" i="5"/>
  <c r="B2581" i="5"/>
  <c r="D2576" i="5"/>
  <c r="B2576" i="5"/>
  <c r="D2569" i="5"/>
  <c r="B2569" i="5"/>
  <c r="D2552" i="5"/>
  <c r="B2552" i="5"/>
  <c r="D2545" i="5"/>
  <c r="B2545" i="5"/>
  <c r="D2539" i="5"/>
  <c r="B2539" i="5"/>
  <c r="D2533" i="5"/>
  <c r="B2533" i="5"/>
  <c r="D2527" i="5"/>
  <c r="B2527" i="5"/>
  <c r="D2521" i="5"/>
  <c r="B2521" i="5"/>
  <c r="D2515" i="5"/>
  <c r="B2515" i="5"/>
  <c r="D2509" i="5"/>
  <c r="B2509" i="5"/>
  <c r="D2503" i="5"/>
  <c r="B2503" i="5"/>
  <c r="D2497" i="5"/>
  <c r="B2497" i="5"/>
  <c r="D2491" i="5"/>
  <c r="B2491" i="5"/>
  <c r="D2485" i="5"/>
  <c r="B2485" i="5"/>
  <c r="D2479" i="5"/>
  <c r="B2479" i="5"/>
  <c r="D2475" i="5"/>
  <c r="B2475" i="5"/>
  <c r="D2471" i="5"/>
  <c r="B2471" i="5"/>
  <c r="D2467" i="5"/>
  <c r="B2467" i="5"/>
  <c r="D2463" i="5"/>
  <c r="B2463" i="5"/>
  <c r="D2459" i="5"/>
  <c r="B2459" i="5"/>
  <c r="D2455" i="5"/>
  <c r="B2455" i="5"/>
  <c r="D2451" i="5"/>
  <c r="B2451" i="5"/>
  <c r="D2447" i="5"/>
  <c r="B2447" i="5"/>
  <c r="D2443" i="5"/>
  <c r="B2443" i="5"/>
  <c r="D2439" i="5"/>
  <c r="B2439" i="5"/>
  <c r="D2435" i="5"/>
  <c r="B2435" i="5"/>
  <c r="D2431" i="5"/>
  <c r="B2431" i="5"/>
  <c r="D2423" i="5"/>
  <c r="B2423" i="5"/>
  <c r="D2415" i="5"/>
  <c r="B2415" i="5"/>
  <c r="D2407" i="5"/>
  <c r="B2407" i="5"/>
  <c r="D2403" i="5"/>
  <c r="B2403" i="5"/>
  <c r="D2399" i="5"/>
  <c r="B2399" i="5"/>
  <c r="D2395" i="5"/>
  <c r="B2395" i="5"/>
  <c r="D2391" i="5"/>
  <c r="B2391" i="5"/>
  <c r="D2387" i="5"/>
  <c r="B2387" i="5"/>
  <c r="D2383" i="5"/>
  <c r="B2383" i="5"/>
  <c r="D2379" i="5"/>
  <c r="B2379" i="5"/>
  <c r="D2373" i="5"/>
  <c r="B2373" i="5"/>
  <c r="D2366" i="5"/>
  <c r="B2366" i="5"/>
  <c r="D2360" i="5"/>
  <c r="B2360" i="5"/>
  <c r="D2353" i="5"/>
  <c r="B2353" i="5"/>
  <c r="D2345" i="5"/>
  <c r="B2345" i="5"/>
  <c r="D2339" i="5"/>
  <c r="B2339" i="5"/>
  <c r="D2334" i="5"/>
  <c r="B2334" i="5"/>
  <c r="D2329" i="5"/>
  <c r="B2329" i="5"/>
  <c r="D2324" i="5"/>
  <c r="B2324" i="5"/>
  <c r="D2318" i="5"/>
  <c r="B2318" i="5"/>
  <c r="D2312" i="5"/>
  <c r="B2312" i="5"/>
  <c r="D2306" i="5"/>
  <c r="B2306" i="5"/>
  <c r="D2300" i="5"/>
  <c r="B2300" i="5"/>
  <c r="D2293" i="5"/>
  <c r="B2293" i="5"/>
  <c r="D2284" i="5"/>
  <c r="B2284" i="5"/>
  <c r="D2276" i="5"/>
  <c r="B2276" i="5"/>
  <c r="D2268" i="5"/>
  <c r="B2268" i="5"/>
  <c r="D2260" i="5"/>
  <c r="B2260" i="5"/>
  <c r="D2252" i="5"/>
  <c r="B2252" i="5"/>
  <c r="D2244" i="5"/>
  <c r="B2244" i="5"/>
  <c r="D2238" i="5"/>
  <c r="B2238" i="5"/>
  <c r="D2228" i="5"/>
  <c r="B2228" i="5"/>
  <c r="D2222" i="5"/>
  <c r="B2222" i="5"/>
  <c r="D2216" i="5"/>
  <c r="B2216" i="5"/>
  <c r="D2210" i="5"/>
  <c r="B2210" i="5"/>
  <c r="D2203" i="5"/>
  <c r="B2203" i="5"/>
  <c r="D2198" i="5"/>
  <c r="B2198" i="5"/>
  <c r="D2190" i="5"/>
  <c r="B2190" i="5"/>
  <c r="D2182" i="5"/>
  <c r="B2182" i="5"/>
  <c r="D2174" i="5"/>
  <c r="B2174" i="5"/>
  <c r="D2166" i="5"/>
  <c r="B2166" i="5"/>
  <c r="D2158" i="5"/>
  <c r="B2158" i="5"/>
  <c r="D2150" i="5"/>
  <c r="B2150" i="5"/>
  <c r="D2142" i="5"/>
  <c r="B2142" i="5"/>
  <c r="D2134" i="5"/>
  <c r="B2134" i="5"/>
  <c r="D2128" i="5"/>
  <c r="B2128" i="5"/>
  <c r="D2122" i="5"/>
  <c r="B2122" i="5"/>
  <c r="D2116" i="5"/>
  <c r="B2116" i="5"/>
  <c r="D2110" i="5"/>
  <c r="B2110" i="5"/>
  <c r="D2104" i="5"/>
  <c r="B2104" i="5"/>
  <c r="D2096" i="5"/>
  <c r="B2096" i="5"/>
  <c r="D2088" i="5"/>
  <c r="B2088" i="5"/>
  <c r="D2080" i="5"/>
  <c r="B2080" i="5"/>
  <c r="D2072" i="5"/>
  <c r="B2072" i="5"/>
  <c r="D2064" i="5"/>
  <c r="B2064" i="5"/>
  <c r="D2056" i="5"/>
  <c r="B2056" i="5"/>
  <c r="D2048" i="5"/>
  <c r="B2048" i="5"/>
  <c r="D2040" i="5"/>
  <c r="B2040" i="5"/>
  <c r="D2032" i="5"/>
  <c r="B2032" i="5"/>
  <c r="D2024" i="5"/>
  <c r="B2024" i="5"/>
  <c r="D2016" i="5"/>
  <c r="B2016" i="5"/>
  <c r="D2010" i="5"/>
  <c r="B2010" i="5"/>
  <c r="D2003" i="5"/>
  <c r="B2003" i="5"/>
  <c r="D1996" i="5"/>
  <c r="B1996" i="5"/>
  <c r="D1989" i="5"/>
  <c r="B1989" i="5"/>
  <c r="D1982" i="5"/>
  <c r="B1982" i="5"/>
  <c r="D1974" i="5"/>
  <c r="B1974" i="5"/>
  <c r="D1966" i="5"/>
  <c r="B1966" i="5"/>
  <c r="D1959" i="5"/>
  <c r="B1959" i="5"/>
  <c r="D1952" i="5"/>
  <c r="B1952" i="5"/>
  <c r="D1946" i="5"/>
  <c r="B1946" i="5"/>
  <c r="D1940" i="5"/>
  <c r="B1940" i="5"/>
  <c r="D1935" i="5"/>
  <c r="B1935" i="5"/>
  <c r="D1930" i="5"/>
  <c r="B1930" i="5"/>
  <c r="D1925" i="5"/>
  <c r="B1925" i="5"/>
  <c r="D1919" i="5"/>
  <c r="B1919" i="5"/>
  <c r="D1914" i="5"/>
  <c r="B1914" i="5"/>
  <c r="D1909" i="5"/>
  <c r="B1909" i="5"/>
  <c r="D1904" i="5"/>
  <c r="B1904" i="5"/>
  <c r="D1898" i="5"/>
  <c r="B1898" i="5"/>
  <c r="D1892" i="5"/>
  <c r="B1892" i="5"/>
  <c r="D1886" i="5"/>
  <c r="B1886" i="5"/>
  <c r="D1880" i="5"/>
  <c r="B1880" i="5"/>
  <c r="D1874" i="5"/>
  <c r="B1874" i="5"/>
  <c r="D1868" i="5"/>
  <c r="B1868" i="5"/>
  <c r="D1862" i="5"/>
  <c r="B1862" i="5"/>
  <c r="D1856" i="5"/>
  <c r="B1856" i="5"/>
  <c r="D1850" i="5"/>
  <c r="B1850" i="5"/>
  <c r="D1844" i="5"/>
  <c r="B1844" i="5"/>
  <c r="D1838" i="5"/>
  <c r="B1838" i="5"/>
  <c r="D1832" i="5"/>
  <c r="B1832" i="5"/>
  <c r="D1825" i="5"/>
  <c r="B1825" i="5"/>
  <c r="D1819" i="5"/>
  <c r="B1819" i="5"/>
  <c r="D1813" i="5"/>
  <c r="B1813" i="5"/>
  <c r="D1808" i="5"/>
  <c r="B1808" i="5"/>
  <c r="D1803" i="5"/>
  <c r="B1803" i="5"/>
  <c r="D1797" i="5"/>
  <c r="B1797" i="5"/>
  <c r="D1790" i="5"/>
  <c r="B1790" i="5"/>
  <c r="D1783" i="5"/>
  <c r="B1783" i="5"/>
  <c r="D1776" i="5"/>
  <c r="B1776" i="5"/>
  <c r="D1769" i="5"/>
  <c r="B1769" i="5"/>
  <c r="D1762" i="5"/>
  <c r="B1762" i="5"/>
  <c r="D1755" i="5"/>
  <c r="B1755" i="5"/>
  <c r="D1748" i="5"/>
  <c r="B1748" i="5"/>
  <c r="D1737" i="5"/>
  <c r="B1737" i="5"/>
  <c r="D1726" i="5"/>
  <c r="B1726" i="5"/>
  <c r="D1715" i="5"/>
  <c r="B1715" i="5"/>
  <c r="D1704" i="5"/>
  <c r="B1704" i="5"/>
  <c r="D1696" i="5"/>
  <c r="B1696" i="5"/>
  <c r="D1690" i="5"/>
  <c r="B1690" i="5"/>
  <c r="D1683" i="5"/>
  <c r="B1683" i="5"/>
  <c r="D1676" i="5"/>
  <c r="B1676" i="5"/>
  <c r="D1670" i="5"/>
  <c r="B1670" i="5"/>
  <c r="D1665" i="5"/>
  <c r="B1665" i="5"/>
  <c r="D1660" i="5"/>
  <c r="B1660" i="5"/>
  <c r="D1655" i="5"/>
  <c r="B1655" i="5"/>
  <c r="D1649" i="5"/>
  <c r="B1649" i="5"/>
  <c r="D1643" i="5"/>
  <c r="B1643" i="5"/>
  <c r="D1637" i="5"/>
  <c r="B1637" i="5"/>
  <c r="D1631" i="5"/>
  <c r="B1631" i="5"/>
  <c r="D1626" i="5"/>
  <c r="B1626" i="5"/>
  <c r="D1620" i="5"/>
  <c r="B1620" i="5"/>
  <c r="D1614" i="5"/>
  <c r="B1614" i="5"/>
  <c r="D1609" i="5"/>
  <c r="B1609" i="5"/>
  <c r="D1602" i="5"/>
  <c r="B1602" i="5"/>
  <c r="D1596" i="5"/>
  <c r="B1596" i="5"/>
  <c r="D1590" i="5"/>
  <c r="B1590" i="5"/>
  <c r="D1584" i="5"/>
  <c r="B1584" i="5"/>
  <c r="D1569" i="5"/>
  <c r="B1569" i="5"/>
  <c r="D1562" i="5"/>
  <c r="B1562" i="5"/>
  <c r="D1555" i="5"/>
  <c r="B1555" i="5"/>
  <c r="D1548" i="5"/>
  <c r="B1548" i="5"/>
  <c r="D1541" i="5"/>
  <c r="B1541" i="5"/>
  <c r="D1533" i="5"/>
  <c r="B1533" i="5"/>
  <c r="D1525" i="5"/>
  <c r="B1525" i="5"/>
  <c r="D1517" i="5"/>
  <c r="B1517" i="5"/>
  <c r="D1509" i="5"/>
  <c r="B1509" i="5"/>
  <c r="D1501" i="5"/>
  <c r="B1501" i="5"/>
  <c r="D1486" i="5"/>
  <c r="B1486" i="5"/>
  <c r="D1471" i="5"/>
  <c r="B1471" i="5"/>
  <c r="D1456" i="5"/>
  <c r="B1456" i="5"/>
  <c r="D1441" i="5"/>
  <c r="B1441" i="5"/>
  <c r="D1426" i="5"/>
  <c r="B1426" i="5"/>
  <c r="D1411" i="5"/>
  <c r="B1411" i="5"/>
  <c r="D1396" i="5"/>
  <c r="B1396" i="5"/>
  <c r="D1389" i="5"/>
  <c r="B1389" i="5"/>
  <c r="D1383" i="5"/>
  <c r="B1383" i="5"/>
  <c r="D1377" i="5"/>
  <c r="B1377" i="5"/>
  <c r="D1371" i="5"/>
  <c r="B1371" i="5"/>
  <c r="D1365" i="5"/>
  <c r="B1365" i="5"/>
  <c r="D1359" i="5"/>
  <c r="B1359" i="5"/>
  <c r="D1353" i="5"/>
  <c r="B1353" i="5"/>
  <c r="D1346" i="5"/>
  <c r="B1346" i="5"/>
  <c r="D1340" i="5"/>
  <c r="B1340" i="5"/>
  <c r="D1333" i="5"/>
  <c r="B1333" i="5"/>
  <c r="D1328" i="5"/>
  <c r="B1328" i="5"/>
  <c r="D1323" i="5"/>
  <c r="B1323" i="5"/>
  <c r="D1318" i="5"/>
  <c r="B1318" i="5"/>
  <c r="D1313" i="5"/>
  <c r="B1313" i="5"/>
  <c r="D1304" i="5"/>
  <c r="B1304" i="5"/>
  <c r="D1296" i="5"/>
  <c r="B1296" i="5"/>
  <c r="D1289" i="5"/>
  <c r="B1289" i="5"/>
  <c r="D1282" i="5"/>
  <c r="B1282" i="5"/>
  <c r="D1275" i="5"/>
  <c r="B1275" i="5"/>
  <c r="D1268" i="5"/>
  <c r="B1268" i="5"/>
  <c r="D1262" i="5"/>
  <c r="B1262" i="5"/>
  <c r="D1255" i="5"/>
  <c r="B1255" i="5"/>
  <c r="D1248" i="5"/>
  <c r="B1248" i="5"/>
  <c r="D1241" i="5"/>
  <c r="B1241" i="5"/>
  <c r="D1234" i="5"/>
  <c r="B1234" i="5"/>
  <c r="D1227" i="5"/>
  <c r="B1227" i="5"/>
  <c r="D1220" i="5"/>
  <c r="B1220" i="5"/>
  <c r="D1213" i="5"/>
  <c r="B1213" i="5"/>
  <c r="D1206" i="5"/>
  <c r="B1206" i="5"/>
  <c r="D1199" i="5"/>
  <c r="B1199" i="5"/>
  <c r="D1192" i="5"/>
  <c r="B1192" i="5"/>
  <c r="D1185" i="5"/>
  <c r="B1185" i="5"/>
  <c r="D1178" i="5"/>
  <c r="B1178" i="5"/>
  <c r="D1171" i="5"/>
  <c r="B1171" i="5"/>
  <c r="D1164" i="5"/>
  <c r="B1164" i="5"/>
  <c r="D1157" i="5"/>
  <c r="B1157" i="5"/>
  <c r="D1150" i="5"/>
  <c r="B1150" i="5"/>
  <c r="D1143" i="5"/>
  <c r="B1143" i="5"/>
  <c r="D1136" i="5"/>
  <c r="B1136" i="5"/>
  <c r="D1129" i="5"/>
  <c r="B1129" i="5"/>
  <c r="D1124" i="5"/>
  <c r="B1124" i="5"/>
  <c r="D1118" i="5"/>
  <c r="B1118" i="5"/>
  <c r="D1113" i="5"/>
  <c r="B1113" i="5"/>
  <c r="D1108" i="5"/>
  <c r="B1108" i="5"/>
  <c r="D1100" i="5"/>
  <c r="B1100" i="5"/>
  <c r="D1090" i="5"/>
  <c r="B1090" i="5"/>
  <c r="D1082" i="5"/>
  <c r="B1082" i="5"/>
  <c r="D1074" i="5"/>
  <c r="B1074" i="5"/>
  <c r="D1065" i="5"/>
  <c r="B1065" i="5"/>
  <c r="D1058" i="5"/>
  <c r="B1058" i="5"/>
  <c r="D1051" i="5"/>
  <c r="B1051" i="5"/>
  <c r="D1044" i="5"/>
  <c r="B1044" i="5"/>
  <c r="D1037" i="5"/>
  <c r="B1037" i="5"/>
  <c r="D1028" i="5"/>
  <c r="B1028" i="5"/>
  <c r="D1018" i="5"/>
  <c r="B1018" i="5"/>
  <c r="D1013" i="5"/>
  <c r="B1013" i="5"/>
  <c r="D1004" i="5"/>
  <c r="B1004" i="5"/>
  <c r="D999" i="5"/>
  <c r="B999" i="5"/>
  <c r="D994" i="5"/>
  <c r="B994" i="5"/>
  <c r="D983" i="5"/>
  <c r="B983" i="5"/>
  <c r="D972" i="5"/>
  <c r="B972" i="5"/>
  <c r="D965" i="5"/>
  <c r="B965" i="5"/>
  <c r="D958" i="5"/>
  <c r="B958" i="5"/>
  <c r="D951" i="5"/>
  <c r="B951" i="5"/>
  <c r="D945" i="5"/>
  <c r="B945" i="5"/>
  <c r="D939" i="5"/>
  <c r="B939" i="5"/>
  <c r="D930" i="5"/>
  <c r="B930" i="5"/>
  <c r="D921" i="5"/>
  <c r="B921" i="5"/>
  <c r="D914" i="5"/>
  <c r="B914" i="5"/>
  <c r="D905" i="5"/>
  <c r="B905" i="5"/>
  <c r="D899" i="5"/>
  <c r="B899" i="5"/>
  <c r="D895" i="5"/>
  <c r="B895" i="5"/>
  <c r="D888" i="5"/>
  <c r="B888" i="5"/>
  <c r="D883" i="5"/>
  <c r="B883" i="5"/>
  <c r="D876" i="5"/>
  <c r="B876" i="5"/>
  <c r="D869" i="5"/>
  <c r="B869" i="5"/>
  <c r="D861" i="5"/>
  <c r="B861" i="5"/>
  <c r="D855" i="5"/>
  <c r="B855" i="5"/>
  <c r="D848" i="5"/>
  <c r="B848" i="5"/>
  <c r="D842" i="5"/>
  <c r="B842" i="5"/>
  <c r="D837" i="5"/>
  <c r="B837" i="5"/>
  <c r="D831" i="5"/>
  <c r="B831" i="5"/>
  <c r="D824" i="5"/>
  <c r="B824" i="5"/>
  <c r="D819" i="5"/>
  <c r="B819" i="5"/>
  <c r="D815" i="5"/>
  <c r="B815" i="5"/>
  <c r="D810" i="5"/>
  <c r="B810" i="5"/>
  <c r="D806" i="5"/>
  <c r="B806" i="5"/>
  <c r="D796" i="5"/>
  <c r="B796" i="5"/>
  <c r="D782" i="5"/>
  <c r="B782" i="5"/>
  <c r="D775" i="5"/>
  <c r="B775" i="5"/>
  <c r="D764" i="5"/>
  <c r="B764" i="5"/>
  <c r="D758" i="5"/>
  <c r="B758" i="5"/>
  <c r="D747" i="5"/>
  <c r="B747" i="5"/>
  <c r="D740" i="5"/>
  <c r="B740" i="5"/>
  <c r="D736" i="5"/>
  <c r="B736" i="5"/>
  <c r="D728" i="5"/>
  <c r="B728" i="5"/>
  <c r="D722" i="5"/>
  <c r="B722" i="5"/>
  <c r="D715" i="5"/>
  <c r="B715" i="5"/>
  <c r="D708" i="5"/>
  <c r="B708" i="5"/>
  <c r="D700" i="5"/>
  <c r="B700" i="5"/>
  <c r="D692" i="5"/>
  <c r="B692" i="5"/>
  <c r="D684" i="5"/>
  <c r="B684" i="5"/>
  <c r="D676" i="5"/>
  <c r="B676" i="5"/>
  <c r="D668" i="5"/>
  <c r="B668" i="5"/>
  <c r="D664" i="5"/>
  <c r="B664" i="5"/>
  <c r="D660" i="5"/>
  <c r="B660" i="5"/>
  <c r="D656" i="5"/>
  <c r="B656" i="5"/>
  <c r="D652" i="5"/>
  <c r="B652" i="5"/>
  <c r="D648" i="5"/>
  <c r="B648" i="5"/>
  <c r="D644" i="5"/>
  <c r="B644" i="5"/>
  <c r="D637" i="5"/>
  <c r="B637" i="5"/>
  <c r="D629" i="5"/>
  <c r="B629" i="5"/>
  <c r="D621" i="5"/>
  <c r="B621" i="5"/>
  <c r="D615" i="5"/>
  <c r="B615" i="5"/>
  <c r="D606" i="5"/>
  <c r="B606" i="5"/>
  <c r="D596" i="5"/>
  <c r="B596" i="5"/>
  <c r="D588" i="5"/>
  <c r="B588" i="5"/>
  <c r="D579" i="5"/>
  <c r="B579" i="5"/>
  <c r="D569" i="5"/>
  <c r="B569" i="5"/>
  <c r="D561" i="5"/>
  <c r="B561" i="5"/>
  <c r="D553" i="5"/>
  <c r="B553" i="5"/>
  <c r="D545" i="5"/>
  <c r="B545" i="5"/>
  <c r="D537" i="5"/>
  <c r="B537" i="5"/>
  <c r="D531" i="5"/>
  <c r="B531" i="5"/>
  <c r="D524" i="5"/>
  <c r="B524" i="5"/>
  <c r="D517" i="5"/>
  <c r="B517" i="5"/>
  <c r="D511" i="5"/>
  <c r="B511" i="5"/>
  <c r="D504" i="5"/>
  <c r="B504" i="5"/>
  <c r="D497" i="5"/>
  <c r="B497" i="5"/>
  <c r="D489" i="5"/>
  <c r="B489" i="5"/>
  <c r="D483" i="5"/>
  <c r="B483" i="5"/>
  <c r="D471" i="5"/>
  <c r="B471" i="5"/>
  <c r="D464" i="5"/>
  <c r="B464" i="5"/>
  <c r="D454" i="5"/>
  <c r="B454" i="5"/>
  <c r="D446" i="5"/>
  <c r="B446" i="5"/>
  <c r="D440" i="5"/>
  <c r="B440" i="5"/>
  <c r="D434" i="5"/>
  <c r="B434" i="5"/>
  <c r="D422" i="5"/>
  <c r="B422" i="5"/>
  <c r="D415" i="5"/>
  <c r="B415" i="5"/>
  <c r="D401" i="5"/>
  <c r="B401" i="5"/>
  <c r="D394" i="5"/>
  <c r="B394" i="5"/>
  <c r="D380" i="5"/>
  <c r="B380" i="5"/>
  <c r="D371" i="5"/>
  <c r="B371" i="5"/>
  <c r="D365" i="5"/>
  <c r="B365" i="5"/>
  <c r="D351" i="5"/>
  <c r="B351" i="5"/>
  <c r="D341" i="5"/>
  <c r="B341" i="5"/>
  <c r="D326" i="5"/>
  <c r="B326" i="5"/>
  <c r="D320" i="5"/>
  <c r="B320" i="5"/>
  <c r="D305" i="5"/>
  <c r="B305" i="5"/>
  <c r="D290" i="5"/>
  <c r="B290" i="5"/>
  <c r="D283" i="5"/>
  <c r="B283" i="5"/>
  <c r="D276" i="5"/>
  <c r="B276" i="5"/>
  <c r="D268" i="5"/>
  <c r="B268" i="5"/>
  <c r="D262" i="5"/>
  <c r="B262" i="5"/>
  <c r="D247" i="5"/>
  <c r="B247" i="5"/>
  <c r="D239" i="5"/>
  <c r="B239" i="5"/>
  <c r="D235" i="5"/>
  <c r="B235" i="5"/>
  <c r="D231" i="5"/>
  <c r="B231" i="5"/>
  <c r="D227" i="5"/>
  <c r="B227" i="5"/>
  <c r="D223" i="5"/>
  <c r="B223" i="5"/>
  <c r="D218" i="5"/>
  <c r="B218" i="5"/>
  <c r="D213" i="5"/>
  <c r="B213" i="5"/>
  <c r="D209" i="5"/>
  <c r="B209" i="5"/>
  <c r="D204" i="5"/>
  <c r="B204" i="5"/>
  <c r="D200" i="5"/>
  <c r="B200" i="5"/>
  <c r="D196" i="5"/>
  <c r="B196" i="5"/>
  <c r="D189" i="5"/>
  <c r="B189" i="5"/>
  <c r="D182" i="5"/>
  <c r="B182" i="5"/>
  <c r="D178" i="5"/>
  <c r="B178" i="5"/>
  <c r="D174" i="5"/>
  <c r="B174" i="5"/>
  <c r="D170" i="5"/>
  <c r="B170" i="5"/>
  <c r="D165" i="5"/>
  <c r="B165" i="5"/>
  <c r="D160" i="5"/>
  <c r="B160" i="5"/>
  <c r="D153" i="5"/>
  <c r="B153" i="5"/>
  <c r="D148" i="5"/>
  <c r="B148" i="5"/>
  <c r="D143" i="5"/>
  <c r="B143" i="5"/>
  <c r="D138" i="5"/>
  <c r="B138" i="5"/>
  <c r="D134" i="5"/>
  <c r="B134" i="5"/>
  <c r="D130" i="5"/>
  <c r="B130" i="5"/>
  <c r="D125" i="5"/>
  <c r="B125" i="5"/>
  <c r="D120" i="5"/>
  <c r="B120" i="5"/>
  <c r="D116" i="5"/>
  <c r="B116" i="5"/>
  <c r="D111" i="5"/>
  <c r="B111" i="5"/>
  <c r="D106" i="5"/>
  <c r="B106" i="5"/>
  <c r="D102" i="5"/>
  <c r="B102" i="5"/>
  <c r="D97" i="5"/>
  <c r="B97" i="5"/>
  <c r="D92" i="5"/>
  <c r="B92" i="5"/>
  <c r="D87" i="5"/>
  <c r="B87" i="5"/>
  <c r="D82" i="5"/>
  <c r="B82" i="5"/>
  <c r="D77" i="5"/>
  <c r="B77" i="5"/>
  <c r="D69" i="5"/>
  <c r="B69" i="5"/>
  <c r="D64" i="5"/>
  <c r="B64" i="5"/>
  <c r="D59" i="5"/>
  <c r="B59" i="5"/>
  <c r="D52" i="5"/>
  <c r="B52" i="5"/>
  <c r="D47" i="5"/>
  <c r="B47" i="5"/>
  <c r="D42" i="5"/>
  <c r="B42" i="5"/>
  <c r="D37" i="5"/>
  <c r="B37" i="5"/>
  <c r="D33" i="5"/>
  <c r="B33" i="5"/>
  <c r="D28" i="5"/>
  <c r="B28" i="5"/>
  <c r="D23" i="5"/>
  <c r="B23" i="5"/>
  <c r="D18" i="5"/>
  <c r="B18" i="5"/>
  <c r="D14" i="5"/>
  <c r="B14" i="5"/>
  <c r="D10" i="5"/>
  <c r="B10" i="5"/>
  <c r="D6" i="5"/>
  <c r="B6" i="5"/>
  <c r="A3" i="5"/>
  <c r="A1" i="5"/>
  <c r="A3" i="7" l="1"/>
  <c r="A3" i="6"/>
  <c r="A1" i="7"/>
  <c r="A1" i="6"/>
  <c r="G17" i="9" l="1"/>
  <c r="A1241" i="8"/>
  <c r="D30" i="7"/>
  <c r="D29" i="7"/>
  <c r="D28" i="7"/>
  <c r="D350" i="6"/>
  <c r="D349" i="6"/>
  <c r="D338" i="6"/>
  <c r="D337" i="6"/>
  <c r="D324" i="6"/>
  <c r="D323" i="6"/>
  <c r="D296" i="6"/>
  <c r="D295" i="6"/>
  <c r="D273" i="6"/>
  <c r="D272" i="6"/>
  <c r="D263" i="6"/>
  <c r="D262" i="6"/>
  <c r="D249" i="6"/>
  <c r="D248" i="6"/>
  <c r="D235" i="6"/>
  <c r="D234" i="6"/>
  <c r="D211" i="6"/>
  <c r="E207" i="6"/>
  <c r="E180" i="6"/>
  <c r="D176" i="6"/>
  <c r="D175" i="6"/>
  <c r="D164" i="6"/>
  <c r="D163" i="6"/>
  <c r="E142" i="6"/>
  <c r="E124" i="6"/>
  <c r="E118" i="6"/>
  <c r="E112" i="6"/>
  <c r="E106" i="6"/>
  <c r="D102" i="6"/>
  <c r="D101" i="6"/>
  <c r="D92" i="6"/>
  <c r="D91" i="6"/>
  <c r="E79" i="6"/>
  <c r="D75" i="6"/>
  <c r="D74" i="6"/>
  <c r="E61" i="6"/>
  <c r="D57" i="6"/>
  <c r="D56" i="6"/>
  <c r="E38" i="6"/>
  <c r="E27" i="6"/>
  <c r="E21" i="6"/>
  <c r="E16" i="6"/>
  <c r="D12" i="6"/>
  <c r="D11" i="6"/>
  <c r="I4423" i="5"/>
  <c r="I4420" i="5"/>
  <c r="I4419" i="5"/>
  <c r="I4418" i="5"/>
  <c r="I4409" i="5"/>
  <c r="I4408" i="5"/>
  <c r="I4407" i="5"/>
  <c r="I4406" i="5"/>
  <c r="I4405" i="5"/>
  <c r="E4404" i="5"/>
  <c r="E4403" i="5"/>
  <c r="I4401" i="5"/>
  <c r="I4400" i="5"/>
  <c r="I4399" i="5"/>
  <c r="I4398" i="5"/>
  <c r="I4397" i="5"/>
  <c r="I4395" i="5"/>
  <c r="I4394" i="5"/>
  <c r="I4393" i="5"/>
  <c r="I4392" i="5"/>
  <c r="I4391" i="5"/>
  <c r="I4390" i="5"/>
  <c r="E4388" i="5"/>
  <c r="I4383" i="5"/>
  <c r="I4382" i="5"/>
  <c r="I4381" i="5"/>
  <c r="I4374" i="5"/>
  <c r="I4373" i="5"/>
  <c r="I4372" i="5"/>
  <c r="I4371" i="5"/>
  <c r="I4370" i="5"/>
  <c r="I4369" i="5"/>
  <c r="I4366" i="5"/>
  <c r="I4365" i="5"/>
  <c r="I4364" i="5"/>
  <c r="I4360" i="5"/>
  <c r="I4359" i="5"/>
  <c r="I4358" i="5"/>
  <c r="I4350" i="5"/>
  <c r="I4349" i="5"/>
  <c r="I4348" i="5"/>
  <c r="I4342" i="5"/>
  <c r="I4341" i="5"/>
  <c r="I4340" i="5"/>
  <c r="I4334" i="5"/>
  <c r="I4333" i="5"/>
  <c r="I4332" i="5"/>
  <c r="I4328" i="5"/>
  <c r="I4327" i="5"/>
  <c r="I4326" i="5"/>
  <c r="I4325" i="5"/>
  <c r="I4324" i="5"/>
  <c r="I4323" i="5"/>
  <c r="I4320" i="5"/>
  <c r="I4318" i="5"/>
  <c r="I4317" i="5"/>
  <c r="I4316" i="5"/>
  <c r="E4315" i="5"/>
  <c r="E4314" i="5"/>
  <c r="I4308" i="5"/>
  <c r="I4307" i="5"/>
  <c r="I4306" i="5"/>
  <c r="I4302" i="5"/>
  <c r="I4301" i="5"/>
  <c r="I4300" i="5"/>
  <c r="I4299" i="5"/>
  <c r="I4298" i="5"/>
  <c r="E4297" i="5"/>
  <c r="I4294" i="5"/>
  <c r="I4293" i="5"/>
  <c r="I4292" i="5"/>
  <c r="I4285" i="5"/>
  <c r="I4284" i="5"/>
  <c r="I4283" i="5"/>
  <c r="E4282" i="5"/>
  <c r="E4281" i="5"/>
  <c r="E4280" i="5"/>
  <c r="E4279" i="5"/>
  <c r="E4278" i="5"/>
  <c r="I4277" i="5"/>
  <c r="I4276" i="5"/>
  <c r="I4275" i="5"/>
  <c r="I4274" i="5"/>
  <c r="I4273" i="5"/>
  <c r="E4272" i="5"/>
  <c r="E4271" i="5"/>
  <c r="I4258" i="5"/>
  <c r="I4257" i="5"/>
  <c r="I4256" i="5"/>
  <c r="E4251" i="5"/>
  <c r="E4250" i="5"/>
  <c r="E4249" i="5"/>
  <c r="E4248" i="5"/>
  <c r="E4247" i="5"/>
  <c r="I4246" i="5"/>
  <c r="I4245" i="5"/>
  <c r="I4244" i="5"/>
  <c r="I4234" i="5"/>
  <c r="I4232" i="5"/>
  <c r="I4228" i="5"/>
  <c r="I4227" i="5"/>
  <c r="I4226" i="5"/>
  <c r="I4222" i="5"/>
  <c r="I4221" i="5"/>
  <c r="I4220" i="5"/>
  <c r="E4219" i="5"/>
  <c r="I4214" i="5"/>
  <c r="I4213" i="5"/>
  <c r="I4212" i="5"/>
  <c r="I4208" i="5"/>
  <c r="I4207" i="5"/>
  <c r="I4206" i="5"/>
  <c r="I4203" i="5"/>
  <c r="I4202" i="5"/>
  <c r="I4201" i="5"/>
  <c r="I4198" i="5"/>
  <c r="I4197" i="5"/>
  <c r="I4196" i="5"/>
  <c r="I4192" i="5"/>
  <c r="I4191" i="5"/>
  <c r="I4190" i="5"/>
  <c r="I4184" i="5"/>
  <c r="I4183" i="5"/>
  <c r="I4182" i="5"/>
  <c r="E4180" i="5"/>
  <c r="I4178" i="5"/>
  <c r="I4177" i="5"/>
  <c r="I4176" i="5"/>
  <c r="E4173" i="5"/>
  <c r="E4167" i="5"/>
  <c r="I4160" i="5"/>
  <c r="I4159" i="5"/>
  <c r="I4158" i="5"/>
  <c r="I4154" i="5"/>
  <c r="I4153" i="5"/>
  <c r="I4152" i="5"/>
  <c r="I4145" i="5"/>
  <c r="I4144" i="5"/>
  <c r="I4143" i="5"/>
  <c r="I4129" i="5"/>
  <c r="I4128" i="5"/>
  <c r="I4127" i="5"/>
  <c r="I4121" i="5"/>
  <c r="I4120" i="5"/>
  <c r="I4119" i="5"/>
  <c r="I4111" i="5"/>
  <c r="I4110" i="5"/>
  <c r="I4109" i="5"/>
  <c r="I4101" i="5"/>
  <c r="I4099" i="5"/>
  <c r="I4091" i="5"/>
  <c r="I4090" i="5"/>
  <c r="I4089" i="5"/>
  <c r="E4088" i="5"/>
  <c r="E4086" i="5"/>
  <c r="E4085" i="5"/>
  <c r="E4084" i="5"/>
  <c r="I4083" i="5"/>
  <c r="I4082" i="5"/>
  <c r="I4081" i="5"/>
  <c r="E4080" i="5"/>
  <c r="E4078" i="5"/>
  <c r="E4077" i="5"/>
  <c r="E4076" i="5"/>
  <c r="I4075" i="5"/>
  <c r="I4074" i="5"/>
  <c r="I4073" i="5"/>
  <c r="I4065" i="5"/>
  <c r="I4064" i="5"/>
  <c r="I4063" i="5"/>
  <c r="I4056" i="5"/>
  <c r="I4055" i="5"/>
  <c r="I4054" i="5"/>
  <c r="I4047" i="5"/>
  <c r="I4046" i="5"/>
  <c r="I4045" i="5"/>
  <c r="I4038" i="5"/>
  <c r="I4037" i="5"/>
  <c r="I4036" i="5"/>
  <c r="I4029" i="5"/>
  <c r="I4028" i="5"/>
  <c r="I4027" i="5"/>
  <c r="I4019" i="5"/>
  <c r="I4018" i="5"/>
  <c r="I4017" i="5"/>
  <c r="E4015" i="5"/>
  <c r="E4014" i="5"/>
  <c r="E4013" i="5"/>
  <c r="I4012" i="5"/>
  <c r="I4011" i="5"/>
  <c r="I4010" i="5"/>
  <c r="I4009" i="5"/>
  <c r="I4008" i="5"/>
  <c r="E4007" i="5"/>
  <c r="E4006" i="5"/>
  <c r="I3985" i="5"/>
  <c r="I3984" i="5"/>
  <c r="I3983" i="5"/>
  <c r="I3982" i="5"/>
  <c r="I3981" i="5"/>
  <c r="E3980" i="5"/>
  <c r="E3979" i="5"/>
  <c r="I3969" i="5"/>
  <c r="I3968" i="5"/>
  <c r="I3967" i="5"/>
  <c r="E3963" i="5"/>
  <c r="E3962" i="5"/>
  <c r="E3961" i="5"/>
  <c r="I3960" i="5"/>
  <c r="I3959" i="5"/>
  <c r="I3958" i="5"/>
  <c r="I3950" i="5"/>
  <c r="I3949" i="5"/>
  <c r="I3948" i="5"/>
  <c r="I3945" i="5"/>
  <c r="I3944" i="5"/>
  <c r="I3943" i="5"/>
  <c r="I3937" i="5"/>
  <c r="I3936" i="5"/>
  <c r="I3935" i="5"/>
  <c r="I3930" i="5"/>
  <c r="I3929" i="5"/>
  <c r="I3928" i="5"/>
  <c r="I3924" i="5"/>
  <c r="I3923" i="5"/>
  <c r="I3922" i="5"/>
  <c r="I3921" i="5"/>
  <c r="I3920" i="5"/>
  <c r="E3917" i="5"/>
  <c r="I3916" i="5"/>
  <c r="I3915" i="5"/>
  <c r="I3914" i="5"/>
  <c r="I3910" i="5"/>
  <c r="I3909" i="5"/>
  <c r="I3908" i="5"/>
  <c r="I3900" i="5"/>
  <c r="I3899" i="5"/>
  <c r="I3898" i="5"/>
  <c r="I3894" i="5"/>
  <c r="I3893" i="5"/>
  <c r="I3892" i="5"/>
  <c r="I3888" i="5"/>
  <c r="I3887" i="5"/>
  <c r="I3886" i="5"/>
  <c r="I3882" i="5"/>
  <c r="I3881" i="5"/>
  <c r="I3880" i="5"/>
  <c r="I3875" i="5"/>
  <c r="I3874" i="5"/>
  <c r="I3873" i="5"/>
  <c r="I3868" i="5"/>
  <c r="I3867" i="5"/>
  <c r="I3866" i="5"/>
  <c r="I3864" i="5"/>
  <c r="I3863" i="5"/>
  <c r="I3862" i="5"/>
  <c r="I3861" i="5"/>
  <c r="I3860" i="5"/>
  <c r="E3854" i="5"/>
  <c r="I3852" i="5"/>
  <c r="I3851" i="5"/>
  <c r="I3850" i="5"/>
  <c r="E3849" i="5"/>
  <c r="I3844" i="5"/>
  <c r="I3843" i="5"/>
  <c r="I3842" i="5"/>
  <c r="I3837" i="5"/>
  <c r="I3836" i="5"/>
  <c r="I3835" i="5"/>
  <c r="I3829" i="5"/>
  <c r="I3828" i="5"/>
  <c r="I3827" i="5"/>
  <c r="I3821" i="5"/>
  <c r="I3820" i="5"/>
  <c r="I3819" i="5"/>
  <c r="I3813" i="5"/>
  <c r="I3812" i="5"/>
  <c r="I3811" i="5"/>
  <c r="I3805" i="5"/>
  <c r="I3803" i="5"/>
  <c r="I3798" i="5"/>
  <c r="I3797" i="5"/>
  <c r="I3796" i="5"/>
  <c r="I3794" i="5"/>
  <c r="I3793" i="5"/>
  <c r="I3792" i="5"/>
  <c r="I3791" i="5"/>
  <c r="I3790" i="5"/>
  <c r="E3789" i="5"/>
  <c r="I3788" i="5"/>
  <c r="I3787" i="5"/>
  <c r="I3786" i="5"/>
  <c r="I3781" i="5"/>
  <c r="I3780" i="5"/>
  <c r="I3779" i="5"/>
  <c r="I3775" i="5"/>
  <c r="I3773" i="5"/>
  <c r="I3769" i="5"/>
  <c r="I3768" i="5"/>
  <c r="I3767" i="5"/>
  <c r="I3760" i="5"/>
  <c r="I3758" i="5"/>
  <c r="I3751" i="5"/>
  <c r="I3750" i="5"/>
  <c r="I3749" i="5"/>
  <c r="I3742" i="5"/>
  <c r="I3741" i="5"/>
  <c r="I3740" i="5"/>
  <c r="I3733" i="5"/>
  <c r="I3732" i="5"/>
  <c r="I3731" i="5"/>
  <c r="I3724" i="5"/>
  <c r="I3722" i="5"/>
  <c r="I3715" i="5"/>
  <c r="I3714" i="5"/>
  <c r="I3713" i="5"/>
  <c r="I3711" i="5"/>
  <c r="I3710" i="5"/>
  <c r="I3709" i="5"/>
  <c r="I3707" i="5"/>
  <c r="I3706" i="5"/>
  <c r="I3705" i="5"/>
  <c r="E3703" i="5"/>
  <c r="I3702" i="5"/>
  <c r="I3701" i="5"/>
  <c r="I3700" i="5"/>
  <c r="I3689" i="5"/>
  <c r="I3688" i="5"/>
  <c r="I3687" i="5"/>
  <c r="I3686" i="5"/>
  <c r="I3685" i="5"/>
  <c r="E3684" i="5"/>
  <c r="E3683" i="5"/>
  <c r="I3676" i="5"/>
  <c r="I3675" i="5"/>
  <c r="I3674" i="5"/>
  <c r="I3668" i="5"/>
  <c r="I3667" i="5"/>
  <c r="I3666" i="5"/>
  <c r="I3661" i="5"/>
  <c r="I3660" i="5"/>
  <c r="I3659" i="5"/>
  <c r="I3653" i="5"/>
  <c r="I3651" i="5"/>
  <c r="E3648" i="5"/>
  <c r="I3646" i="5"/>
  <c r="I3645" i="5"/>
  <c r="I3644" i="5"/>
  <c r="I3637" i="5"/>
  <c r="I3636" i="5"/>
  <c r="I3635" i="5"/>
  <c r="E3634" i="5"/>
  <c r="E3633" i="5"/>
  <c r="E3632" i="5"/>
  <c r="E3631" i="5"/>
  <c r="I3630" i="5"/>
  <c r="I3629" i="5"/>
  <c r="I3628" i="5"/>
  <c r="I3624" i="5"/>
  <c r="I3623" i="5"/>
  <c r="I3622" i="5"/>
  <c r="I3618" i="5"/>
  <c r="I3617" i="5"/>
  <c r="I3616" i="5"/>
  <c r="I3612" i="5"/>
  <c r="I3610" i="5"/>
  <c r="I3596" i="5"/>
  <c r="I3594" i="5"/>
  <c r="I3589" i="5"/>
  <c r="I3587" i="5"/>
  <c r="I3574" i="5"/>
  <c r="I3573" i="5"/>
  <c r="I3572" i="5"/>
  <c r="I3571" i="5"/>
  <c r="I3570" i="5"/>
  <c r="E3569" i="5"/>
  <c r="E3568" i="5"/>
  <c r="I3562" i="5"/>
  <c r="I3561" i="5"/>
  <c r="I3560" i="5"/>
  <c r="I3554" i="5"/>
  <c r="I3552" i="5"/>
  <c r="I3545" i="5"/>
  <c r="I3544" i="5"/>
  <c r="I3543" i="5"/>
  <c r="E3542" i="5"/>
  <c r="E3541" i="5"/>
  <c r="E3540" i="5"/>
  <c r="I3537" i="5"/>
  <c r="I3535" i="5"/>
  <c r="I3534" i="5"/>
  <c r="I3533" i="5"/>
  <c r="E3532" i="5"/>
  <c r="I3526" i="5"/>
  <c r="I3525" i="5"/>
  <c r="I3524" i="5"/>
  <c r="E3523" i="5"/>
  <c r="E3522" i="5"/>
  <c r="I3521" i="5"/>
  <c r="I3520" i="5"/>
  <c r="I3519" i="5"/>
  <c r="I3518" i="5"/>
  <c r="I3517" i="5"/>
  <c r="E3516" i="5"/>
  <c r="I3515" i="5"/>
  <c r="I3514" i="5"/>
  <c r="I3513" i="5"/>
  <c r="I3511" i="5"/>
  <c r="I3510" i="5"/>
  <c r="I3509" i="5"/>
  <c r="I3507" i="5"/>
  <c r="I3505" i="5"/>
  <c r="I3503" i="5"/>
  <c r="I3502" i="5"/>
  <c r="I3501" i="5"/>
  <c r="I3494" i="5"/>
  <c r="I3493" i="5"/>
  <c r="I3492" i="5"/>
  <c r="I3491" i="5"/>
  <c r="I3490" i="5"/>
  <c r="I3489" i="5"/>
  <c r="E3488" i="5"/>
  <c r="E3487" i="5"/>
  <c r="E3486" i="5"/>
  <c r="I3485" i="5"/>
  <c r="I3484" i="5"/>
  <c r="I3483" i="5"/>
  <c r="E3482" i="5"/>
  <c r="I3480" i="5"/>
  <c r="I3479" i="5"/>
  <c r="I3478" i="5"/>
  <c r="I3470" i="5"/>
  <c r="I3468" i="5"/>
  <c r="I3466" i="5"/>
  <c r="I3464" i="5"/>
  <c r="I3463" i="5"/>
  <c r="I3462" i="5"/>
  <c r="E3461" i="5"/>
  <c r="E3459" i="5"/>
  <c r="E3458" i="5"/>
  <c r="E3457" i="5"/>
  <c r="E3456" i="5"/>
  <c r="I3455" i="5"/>
  <c r="I3454" i="5"/>
  <c r="I3453" i="5"/>
  <c r="I3452" i="5"/>
  <c r="I3451" i="5"/>
  <c r="E3450" i="5"/>
  <c r="E3449" i="5"/>
  <c r="I3442" i="5"/>
  <c r="I3440" i="5"/>
  <c r="I3439" i="5"/>
  <c r="I3438" i="5"/>
  <c r="E3437" i="5"/>
  <c r="E3436" i="5"/>
  <c r="I3430" i="5"/>
  <c r="I3429" i="5"/>
  <c r="I3428" i="5"/>
  <c r="I3427" i="5"/>
  <c r="I3426" i="5"/>
  <c r="E3425" i="5"/>
  <c r="E3424" i="5"/>
  <c r="E3423" i="5"/>
  <c r="I3422" i="5"/>
  <c r="I3421" i="5"/>
  <c r="I3420" i="5"/>
  <c r="I3419" i="5"/>
  <c r="I3418" i="5"/>
  <c r="E3415" i="5"/>
  <c r="E3414" i="5"/>
  <c r="E3413" i="5"/>
  <c r="E3412" i="5"/>
  <c r="E3411" i="5"/>
  <c r="I3407" i="5"/>
  <c r="I3405" i="5"/>
  <c r="I3403" i="5"/>
  <c r="I3402" i="5"/>
  <c r="I3401" i="5"/>
  <c r="I3399" i="5"/>
  <c r="I3398" i="5"/>
  <c r="I3397" i="5"/>
  <c r="E3394" i="5"/>
  <c r="I3391" i="5"/>
  <c r="I3390" i="5"/>
  <c r="I3389" i="5"/>
  <c r="I3386" i="5"/>
  <c r="I3385" i="5"/>
  <c r="I3384" i="5"/>
  <c r="I3381" i="5"/>
  <c r="I3380" i="5"/>
  <c r="I3379" i="5"/>
  <c r="I3372" i="5"/>
  <c r="I3371" i="5"/>
  <c r="I3370" i="5"/>
  <c r="I3366" i="5"/>
  <c r="I3365" i="5"/>
  <c r="I3364" i="5"/>
  <c r="I3359" i="5"/>
  <c r="I3357" i="5"/>
  <c r="E3356" i="5"/>
  <c r="I3353" i="5"/>
  <c r="I3352" i="5"/>
  <c r="I3351" i="5"/>
  <c r="E3350" i="5"/>
  <c r="I3345" i="5"/>
  <c r="I3344" i="5"/>
  <c r="I3343" i="5"/>
  <c r="I3340" i="5"/>
  <c r="I3339" i="5"/>
  <c r="I3338" i="5"/>
  <c r="E3335" i="5"/>
  <c r="I3333" i="5"/>
  <c r="I3332" i="5"/>
  <c r="I3331" i="5"/>
  <c r="E3330" i="5"/>
  <c r="E3329" i="5"/>
  <c r="E3328" i="5"/>
  <c r="E3327" i="5"/>
  <c r="I3325" i="5"/>
  <c r="I3324" i="5"/>
  <c r="I3323" i="5"/>
  <c r="I3319" i="5"/>
  <c r="I3318" i="5"/>
  <c r="I3317" i="5"/>
  <c r="I3313" i="5"/>
  <c r="I3312" i="5"/>
  <c r="I3311" i="5"/>
  <c r="I3310" i="5"/>
  <c r="I3309" i="5"/>
  <c r="I3308" i="5"/>
  <c r="E3306" i="5"/>
  <c r="E3305" i="5"/>
  <c r="E3304" i="5"/>
  <c r="E3303" i="5"/>
  <c r="E3300" i="5"/>
  <c r="E3298" i="5"/>
  <c r="I3297" i="5"/>
  <c r="I3296" i="5"/>
  <c r="I3295" i="5"/>
  <c r="I3290" i="5"/>
  <c r="I3289" i="5"/>
  <c r="I3288" i="5"/>
  <c r="I3287" i="5"/>
  <c r="I3286" i="5"/>
  <c r="I3285" i="5"/>
  <c r="E3283" i="5"/>
  <c r="E3282" i="5"/>
  <c r="I3278" i="5"/>
  <c r="I3277" i="5"/>
  <c r="I3276" i="5"/>
  <c r="I3275" i="5"/>
  <c r="I3274" i="5"/>
  <c r="I3273" i="5"/>
  <c r="E3271" i="5"/>
  <c r="E3270" i="5"/>
  <c r="E3269" i="5"/>
  <c r="E3268" i="5"/>
  <c r="E3265" i="5"/>
  <c r="E3263" i="5"/>
  <c r="I3261" i="5"/>
  <c r="I3260" i="5"/>
  <c r="I3259" i="5"/>
  <c r="I3253" i="5"/>
  <c r="I3252" i="5"/>
  <c r="I3251" i="5"/>
  <c r="I3250" i="5"/>
  <c r="I3249" i="5"/>
  <c r="I3248" i="5"/>
  <c r="E3246" i="5"/>
  <c r="E3245" i="5"/>
  <c r="E3244" i="5"/>
  <c r="E3243" i="5"/>
  <c r="E3240" i="5"/>
  <c r="E3238" i="5"/>
  <c r="I3236" i="5"/>
  <c r="I3235" i="5"/>
  <c r="I3234" i="5"/>
  <c r="I3228" i="5"/>
  <c r="I3227" i="5"/>
  <c r="I3226" i="5"/>
  <c r="I3225" i="5"/>
  <c r="I3224" i="5"/>
  <c r="E3223" i="5"/>
  <c r="E3221" i="5"/>
  <c r="E3220" i="5"/>
  <c r="E3219" i="5"/>
  <c r="E3218" i="5"/>
  <c r="I3217" i="5"/>
  <c r="I3216" i="5"/>
  <c r="I3215" i="5"/>
  <c r="I3214" i="5"/>
  <c r="I3213" i="5"/>
  <c r="E3212" i="5"/>
  <c r="E3211" i="5"/>
  <c r="E3210" i="5"/>
  <c r="E3209" i="5"/>
  <c r="E3208" i="5"/>
  <c r="I3207" i="5"/>
  <c r="I3206" i="5"/>
  <c r="I3205" i="5"/>
  <c r="I3203" i="5"/>
  <c r="I3202" i="5"/>
  <c r="I3201" i="5"/>
  <c r="I3199" i="5"/>
  <c r="I3198" i="5"/>
  <c r="I3197" i="5"/>
  <c r="I3194" i="5"/>
  <c r="I3193" i="5"/>
  <c r="I3192" i="5"/>
  <c r="I3189" i="5"/>
  <c r="I3188" i="5"/>
  <c r="I3187" i="5"/>
  <c r="I3184" i="5"/>
  <c r="I3183" i="5"/>
  <c r="I3182" i="5"/>
  <c r="I3177" i="5"/>
  <c r="I3175" i="5"/>
  <c r="I3170" i="5"/>
  <c r="I3169" i="5"/>
  <c r="I3168" i="5"/>
  <c r="I3164" i="5"/>
  <c r="I3162" i="5"/>
  <c r="I3159" i="5"/>
  <c r="I3158" i="5"/>
  <c r="I3157" i="5"/>
  <c r="I3155" i="5"/>
  <c r="I3154" i="5"/>
  <c r="I3153" i="5"/>
  <c r="I3150" i="5"/>
  <c r="I3149" i="5"/>
  <c r="I3148" i="5"/>
  <c r="I3146" i="5"/>
  <c r="I3145" i="5"/>
  <c r="I3144" i="5"/>
  <c r="I3142" i="5"/>
  <c r="I3140" i="5"/>
  <c r="I3135" i="5"/>
  <c r="I3134" i="5"/>
  <c r="I3133" i="5"/>
  <c r="I3128" i="5"/>
  <c r="I3127" i="5"/>
  <c r="I3126" i="5"/>
  <c r="I3121" i="5"/>
  <c r="I3120" i="5"/>
  <c r="I3119" i="5"/>
  <c r="I3116" i="5"/>
  <c r="I3115" i="5"/>
  <c r="I3114" i="5"/>
  <c r="I3113" i="5"/>
  <c r="I3112" i="5"/>
  <c r="E3109" i="5"/>
  <c r="I3107" i="5"/>
  <c r="I3106" i="5"/>
  <c r="I3105" i="5"/>
  <c r="I3101" i="5"/>
  <c r="I3100" i="5"/>
  <c r="F3100" i="5"/>
  <c r="I3099" i="5"/>
  <c r="I3095" i="5"/>
  <c r="I3093" i="5"/>
  <c r="I3088" i="5"/>
  <c r="I3087" i="5"/>
  <c r="I3086" i="5"/>
  <c r="I3081" i="5"/>
  <c r="I3080" i="5"/>
  <c r="I3079" i="5"/>
  <c r="I3074" i="5"/>
  <c r="I3072" i="5"/>
  <c r="I3067" i="5"/>
  <c r="I3065" i="5"/>
  <c r="I3060" i="5"/>
  <c r="I3059" i="5"/>
  <c r="I3058" i="5"/>
  <c r="I3053" i="5"/>
  <c r="I3052" i="5"/>
  <c r="I3051" i="5"/>
  <c r="I3046" i="5"/>
  <c r="I3044" i="5"/>
  <c r="I3039" i="5"/>
  <c r="I3037" i="5"/>
  <c r="I3032" i="5"/>
  <c r="I3031" i="5"/>
  <c r="I3030" i="5"/>
  <c r="I3025" i="5"/>
  <c r="I3024" i="5"/>
  <c r="I3023" i="5"/>
  <c r="I3020" i="5"/>
  <c r="I3019" i="5"/>
  <c r="I3018" i="5"/>
  <c r="I3010" i="5"/>
  <c r="I3009" i="5"/>
  <c r="I3008" i="5"/>
  <c r="I3004" i="5"/>
  <c r="I3003" i="5"/>
  <c r="F3003" i="5"/>
  <c r="I3002" i="5"/>
  <c r="I2998" i="5"/>
  <c r="I2997" i="5"/>
  <c r="F2997" i="5"/>
  <c r="I2996" i="5"/>
  <c r="I2992" i="5"/>
  <c r="I2991" i="5"/>
  <c r="I2990" i="5"/>
  <c r="I2989" i="5"/>
  <c r="I2988" i="5"/>
  <c r="E2987" i="5"/>
  <c r="E2986" i="5"/>
  <c r="I2979" i="5"/>
  <c r="I2978" i="5"/>
  <c r="I2977" i="5"/>
  <c r="I2972" i="5"/>
  <c r="I2971" i="5"/>
  <c r="I2970" i="5"/>
  <c r="I2968" i="5"/>
  <c r="F2967" i="5"/>
  <c r="I2966" i="5"/>
  <c r="I2963" i="5"/>
  <c r="I2962" i="5"/>
  <c r="I2961" i="5"/>
  <c r="I2955" i="5"/>
  <c r="I2954" i="5"/>
  <c r="I2953" i="5"/>
  <c r="I2947" i="5"/>
  <c r="I2946" i="5"/>
  <c r="I2945" i="5"/>
  <c r="I2941" i="5"/>
  <c r="I2939" i="5"/>
  <c r="I2936" i="5"/>
  <c r="I2935" i="5"/>
  <c r="F2935" i="5"/>
  <c r="I2934" i="5"/>
  <c r="I2929" i="5"/>
  <c r="I2927" i="5"/>
  <c r="I2923" i="5"/>
  <c r="I2922" i="5"/>
  <c r="F2922" i="5"/>
  <c r="I2921" i="5"/>
  <c r="E2918" i="5"/>
  <c r="I2917" i="5"/>
  <c r="I2916" i="5"/>
  <c r="F2916" i="5"/>
  <c r="I2915" i="5"/>
  <c r="I2910" i="5"/>
  <c r="I2909" i="5"/>
  <c r="I2908" i="5"/>
  <c r="I2903" i="5"/>
  <c r="I2902" i="5"/>
  <c r="F2902" i="5"/>
  <c r="I2901" i="5"/>
  <c r="I2900" i="5"/>
  <c r="I2899" i="5"/>
  <c r="I2897" i="5"/>
  <c r="I2896" i="5"/>
  <c r="I2895" i="5"/>
  <c r="I2892" i="5"/>
  <c r="I2891" i="5"/>
  <c r="F2891" i="5"/>
  <c r="I2890" i="5"/>
  <c r="I2887" i="5"/>
  <c r="I2886" i="5"/>
  <c r="F2886" i="5"/>
  <c r="I2885" i="5"/>
  <c r="I2882" i="5"/>
  <c r="I2881" i="5"/>
  <c r="F2881" i="5"/>
  <c r="I2880" i="5"/>
  <c r="I2877" i="5"/>
  <c r="I2876" i="5"/>
  <c r="F2876" i="5"/>
  <c r="I2875" i="5"/>
  <c r="I2872" i="5"/>
  <c r="I2871" i="5"/>
  <c r="F2871" i="5"/>
  <c r="I2870" i="5"/>
  <c r="I2867" i="5"/>
  <c r="I2866" i="5"/>
  <c r="F2866" i="5"/>
  <c r="I2865" i="5"/>
  <c r="I2862" i="5"/>
  <c r="I2861" i="5"/>
  <c r="F2861" i="5"/>
  <c r="I2860" i="5"/>
  <c r="I2857" i="5"/>
  <c r="I2856" i="5"/>
  <c r="F2856" i="5"/>
  <c r="I2855" i="5"/>
  <c r="I2852" i="5"/>
  <c r="I2851" i="5"/>
  <c r="F2851" i="5"/>
  <c r="I2850" i="5"/>
  <c r="I2844" i="5"/>
  <c r="I2843" i="5"/>
  <c r="I2842" i="5"/>
  <c r="I2839" i="5"/>
  <c r="I2838" i="5"/>
  <c r="F2838" i="5"/>
  <c r="I2837" i="5"/>
  <c r="I2832" i="5"/>
  <c r="I2831" i="5"/>
  <c r="I2830" i="5"/>
  <c r="I2828" i="5"/>
  <c r="I2827" i="5"/>
  <c r="F2827" i="5"/>
  <c r="I2826" i="5"/>
  <c r="I2825" i="5"/>
  <c r="I2824" i="5"/>
  <c r="I2823" i="5"/>
  <c r="I2820" i="5"/>
  <c r="I2819" i="5"/>
  <c r="F2819" i="5"/>
  <c r="I2818" i="5"/>
  <c r="I2815" i="5"/>
  <c r="I2814" i="5"/>
  <c r="F2814" i="5"/>
  <c r="I2813" i="5"/>
  <c r="I2812" i="5"/>
  <c r="I2811" i="5"/>
  <c r="I2810" i="5"/>
  <c r="I2807" i="5"/>
  <c r="I2806" i="5"/>
  <c r="F2806" i="5"/>
  <c r="I2805" i="5"/>
  <c r="I2802" i="5"/>
  <c r="I2801" i="5"/>
  <c r="F2801" i="5"/>
  <c r="I2800" i="5"/>
  <c r="I2797" i="5"/>
  <c r="I2796" i="5"/>
  <c r="F2796" i="5"/>
  <c r="I2795" i="5"/>
  <c r="I2792" i="5"/>
  <c r="I2791" i="5"/>
  <c r="F2791" i="5"/>
  <c r="I2790" i="5"/>
  <c r="I2787" i="5"/>
  <c r="I2786" i="5"/>
  <c r="F2786" i="5"/>
  <c r="I2785" i="5"/>
  <c r="I2782" i="5"/>
  <c r="I2781" i="5"/>
  <c r="F2781" i="5"/>
  <c r="I2780" i="5"/>
  <c r="I2777" i="5"/>
  <c r="I2776" i="5"/>
  <c r="F2776" i="5"/>
  <c r="I2775" i="5"/>
  <c r="I2772" i="5"/>
  <c r="I2771" i="5"/>
  <c r="F2771" i="5"/>
  <c r="I2770" i="5"/>
  <c r="I2767" i="5"/>
  <c r="I2766" i="5"/>
  <c r="F2766" i="5"/>
  <c r="I2765" i="5"/>
  <c r="I2762" i="5"/>
  <c r="I2761" i="5"/>
  <c r="I2760" i="5"/>
  <c r="I2755" i="5"/>
  <c r="I2754" i="5"/>
  <c r="I2753" i="5"/>
  <c r="I2750" i="5"/>
  <c r="I2749" i="5"/>
  <c r="I2748" i="5"/>
  <c r="I2745" i="5"/>
  <c r="I2744" i="5"/>
  <c r="I2743" i="5"/>
  <c r="I2740" i="5"/>
  <c r="I2739" i="5"/>
  <c r="I2738" i="5"/>
  <c r="I2735" i="5"/>
  <c r="I2734" i="5"/>
  <c r="I2733" i="5"/>
  <c r="I2730" i="5"/>
  <c r="I2729" i="5"/>
  <c r="I2728" i="5"/>
  <c r="I2725" i="5"/>
  <c r="I2724" i="5"/>
  <c r="I2723" i="5"/>
  <c r="I2720" i="5"/>
  <c r="I2719" i="5"/>
  <c r="I2718" i="5"/>
  <c r="I2715" i="5"/>
  <c r="I2714" i="5"/>
  <c r="I2713" i="5"/>
  <c r="I2710" i="5"/>
  <c r="I2709" i="5"/>
  <c r="I2708" i="5"/>
  <c r="I2705" i="5"/>
  <c r="I2704" i="5"/>
  <c r="I2703" i="5"/>
  <c r="I2702" i="5"/>
  <c r="I2701" i="5"/>
  <c r="I2700" i="5"/>
  <c r="I2697" i="5"/>
  <c r="I2696" i="5"/>
  <c r="F2696" i="5"/>
  <c r="I2695" i="5"/>
  <c r="I2694" i="5"/>
  <c r="I2693" i="5"/>
  <c r="I2692" i="5"/>
  <c r="I2689" i="5"/>
  <c r="I2688" i="5"/>
  <c r="F2688" i="5"/>
  <c r="I2687" i="5"/>
  <c r="I2686" i="5"/>
  <c r="I2685" i="5"/>
  <c r="I2684" i="5"/>
  <c r="I2681" i="5"/>
  <c r="I2680" i="5"/>
  <c r="F2680" i="5"/>
  <c r="I2679" i="5"/>
  <c r="I2678" i="5"/>
  <c r="I2677" i="5"/>
  <c r="I2676" i="5"/>
  <c r="I2673" i="5"/>
  <c r="I2672" i="5"/>
  <c r="F2672" i="5"/>
  <c r="I2671" i="5"/>
  <c r="I2670" i="5"/>
  <c r="I2669" i="5"/>
  <c r="I2668" i="5"/>
  <c r="I2665" i="5"/>
  <c r="I2664" i="5"/>
  <c r="F2664" i="5"/>
  <c r="I2663" i="5"/>
  <c r="I2660" i="5"/>
  <c r="I2659" i="5"/>
  <c r="I2658" i="5"/>
  <c r="I2655" i="5"/>
  <c r="I2654" i="5"/>
  <c r="I2653" i="5"/>
  <c r="I2650" i="5"/>
  <c r="I2649" i="5"/>
  <c r="I2648" i="5"/>
  <c r="I2647" i="5"/>
  <c r="I2646" i="5"/>
  <c r="E2645" i="5"/>
  <c r="E2644" i="5"/>
  <c r="I2639" i="5"/>
  <c r="I2638" i="5"/>
  <c r="I2637" i="5"/>
  <c r="I2634" i="5"/>
  <c r="I2633" i="5"/>
  <c r="I2632" i="5"/>
  <c r="I2629" i="5"/>
  <c r="I2628" i="5"/>
  <c r="I2627" i="5"/>
  <c r="I2624" i="5"/>
  <c r="I2623" i="5"/>
  <c r="I2622" i="5"/>
  <c r="I2619" i="5"/>
  <c r="I2618" i="5"/>
  <c r="I2617" i="5"/>
  <c r="I2614" i="5"/>
  <c r="I2613" i="5"/>
  <c r="I2612" i="5"/>
  <c r="I2609" i="5"/>
  <c r="I2608" i="5"/>
  <c r="I2607" i="5"/>
  <c r="I2604" i="5"/>
  <c r="I2603" i="5"/>
  <c r="I2602" i="5"/>
  <c r="I2599" i="5"/>
  <c r="I2598" i="5"/>
  <c r="F2598" i="5"/>
  <c r="I2597" i="5"/>
  <c r="I2596" i="5"/>
  <c r="I2595" i="5"/>
  <c r="I2592" i="5"/>
  <c r="I2591" i="5"/>
  <c r="F2591" i="5"/>
  <c r="I2590" i="5"/>
  <c r="I2587" i="5"/>
  <c r="I2586" i="5"/>
  <c r="F2586" i="5"/>
  <c r="I2585" i="5"/>
  <c r="I2582" i="5"/>
  <c r="I2581" i="5"/>
  <c r="F2581" i="5"/>
  <c r="I2580" i="5"/>
  <c r="I2577" i="5"/>
  <c r="I2576" i="5"/>
  <c r="F2576" i="5"/>
  <c r="I2575" i="5"/>
  <c r="I2570" i="5"/>
  <c r="I2569" i="5"/>
  <c r="F2569" i="5"/>
  <c r="I2558" i="5"/>
  <c r="I2553" i="5"/>
  <c r="I2552" i="5"/>
  <c r="F2552" i="5"/>
  <c r="I2551" i="5"/>
  <c r="I2546" i="5"/>
  <c r="I2545" i="5"/>
  <c r="F2545" i="5"/>
  <c r="I2544" i="5"/>
  <c r="I2540" i="5"/>
  <c r="I2539" i="5"/>
  <c r="I2538" i="5"/>
  <c r="I2537" i="5"/>
  <c r="I2536" i="5"/>
  <c r="E2535" i="5"/>
  <c r="I2534" i="5"/>
  <c r="I2533" i="5"/>
  <c r="I2532" i="5"/>
  <c r="I2531" i="5"/>
  <c r="I2530" i="5"/>
  <c r="E2529" i="5"/>
  <c r="I2528" i="5"/>
  <c r="I2527" i="5"/>
  <c r="I2526" i="5"/>
  <c r="I2525" i="5"/>
  <c r="I2524" i="5"/>
  <c r="E2523" i="5"/>
  <c r="I2522" i="5"/>
  <c r="I2521" i="5"/>
  <c r="I2520" i="5"/>
  <c r="I2519" i="5"/>
  <c r="I2518" i="5"/>
  <c r="E2517" i="5"/>
  <c r="I2516" i="5"/>
  <c r="I2515" i="5"/>
  <c r="I2514" i="5"/>
  <c r="I2513" i="5"/>
  <c r="I2512" i="5"/>
  <c r="E2511" i="5"/>
  <c r="I2510" i="5"/>
  <c r="I2509" i="5"/>
  <c r="I2508" i="5"/>
  <c r="I2507" i="5"/>
  <c r="I2506" i="5"/>
  <c r="E2505" i="5"/>
  <c r="I2504" i="5"/>
  <c r="I2503" i="5"/>
  <c r="I2502" i="5"/>
  <c r="I2501" i="5"/>
  <c r="I2500" i="5"/>
  <c r="E2499" i="5"/>
  <c r="I2498" i="5"/>
  <c r="I2497" i="5"/>
  <c r="I2496" i="5"/>
  <c r="I2495" i="5"/>
  <c r="I2494" i="5"/>
  <c r="E2493" i="5"/>
  <c r="I2492" i="5"/>
  <c r="I2491" i="5"/>
  <c r="I2490" i="5"/>
  <c r="I2489" i="5"/>
  <c r="I2488" i="5"/>
  <c r="E2487" i="5"/>
  <c r="I2486" i="5"/>
  <c r="I2485" i="5"/>
  <c r="I2484" i="5"/>
  <c r="I2483" i="5"/>
  <c r="I2482" i="5"/>
  <c r="E2481" i="5"/>
  <c r="I2480" i="5"/>
  <c r="I2479" i="5"/>
  <c r="I2478" i="5"/>
  <c r="I2476" i="5"/>
  <c r="I2474" i="5"/>
  <c r="I2472" i="5"/>
  <c r="I2471" i="5"/>
  <c r="I2470" i="5"/>
  <c r="I2468" i="5"/>
  <c r="I2467" i="5"/>
  <c r="I2466" i="5"/>
  <c r="I2464" i="5"/>
  <c r="I2463" i="5"/>
  <c r="I2462" i="5"/>
  <c r="I2460" i="5"/>
  <c r="I2459" i="5"/>
  <c r="I2458" i="5"/>
  <c r="I2456" i="5"/>
  <c r="I2455" i="5"/>
  <c r="I2454" i="5"/>
  <c r="I2452" i="5"/>
  <c r="I2451" i="5"/>
  <c r="I2450" i="5"/>
  <c r="I2448" i="5"/>
  <c r="I2447" i="5"/>
  <c r="I2446" i="5"/>
  <c r="I2444" i="5"/>
  <c r="I2443" i="5"/>
  <c r="I2442" i="5"/>
  <c r="I2440" i="5"/>
  <c r="I2439" i="5"/>
  <c r="I2438" i="5"/>
  <c r="I2436" i="5"/>
  <c r="I2435" i="5"/>
  <c r="I2434" i="5"/>
  <c r="E2433" i="5"/>
  <c r="I2432" i="5"/>
  <c r="I2431" i="5"/>
  <c r="I2430" i="5"/>
  <c r="I2429" i="5"/>
  <c r="I2428" i="5"/>
  <c r="E2427" i="5"/>
  <c r="E2426" i="5"/>
  <c r="I2424" i="5"/>
  <c r="I2423" i="5"/>
  <c r="I2422" i="5"/>
  <c r="I2421" i="5"/>
  <c r="I2420" i="5"/>
  <c r="E2419" i="5"/>
  <c r="E2418" i="5"/>
  <c r="I2416" i="5"/>
  <c r="I2415" i="5"/>
  <c r="I2414" i="5"/>
  <c r="I2413" i="5"/>
  <c r="I2412" i="5"/>
  <c r="E2411" i="5"/>
  <c r="E2410" i="5"/>
  <c r="I2408" i="5"/>
  <c r="I2407" i="5"/>
  <c r="I2406" i="5"/>
  <c r="I2404" i="5"/>
  <c r="I2403" i="5"/>
  <c r="I2402" i="5"/>
  <c r="I2400" i="5"/>
  <c r="I2399" i="5"/>
  <c r="I2398" i="5"/>
  <c r="I2396" i="5"/>
  <c r="I2395" i="5"/>
  <c r="I2394" i="5"/>
  <c r="I2392" i="5"/>
  <c r="I2391" i="5"/>
  <c r="I2390" i="5"/>
  <c r="I2388" i="5"/>
  <c r="I2387" i="5"/>
  <c r="I2386" i="5"/>
  <c r="I2384" i="5"/>
  <c r="I2383" i="5"/>
  <c r="I2382" i="5"/>
  <c r="I2380" i="5"/>
  <c r="I2378" i="5"/>
  <c r="I2374" i="5"/>
  <c r="I2373" i="5"/>
  <c r="I2372" i="5"/>
  <c r="I2367" i="5"/>
  <c r="I2366" i="5"/>
  <c r="I2365" i="5"/>
  <c r="I2361" i="5"/>
  <c r="I2360" i="5"/>
  <c r="I2359" i="5"/>
  <c r="E2356" i="5"/>
  <c r="E2355" i="5"/>
  <c r="I2354" i="5"/>
  <c r="I2353" i="5"/>
  <c r="I2352" i="5"/>
  <c r="E2351" i="5"/>
  <c r="E2350" i="5"/>
  <c r="I2346" i="5"/>
  <c r="I2345" i="5"/>
  <c r="I2344" i="5"/>
  <c r="I2340" i="5"/>
  <c r="I2339" i="5"/>
  <c r="I2338" i="5"/>
  <c r="E2336" i="5"/>
  <c r="I2335" i="5"/>
  <c r="I2334" i="5"/>
  <c r="I2333" i="5"/>
  <c r="I2330" i="5"/>
  <c r="I2329" i="5"/>
  <c r="I2328" i="5"/>
  <c r="I2325" i="5"/>
  <c r="I2324" i="5"/>
  <c r="I2323" i="5"/>
  <c r="I2319" i="5"/>
  <c r="I2318" i="5"/>
  <c r="I2317" i="5"/>
  <c r="I2313" i="5"/>
  <c r="I2312" i="5"/>
  <c r="I2311" i="5"/>
  <c r="I2307" i="5"/>
  <c r="I2306" i="5"/>
  <c r="I2305" i="5"/>
  <c r="I2301" i="5"/>
  <c r="I2300" i="5"/>
  <c r="I2299" i="5"/>
  <c r="I2294" i="5"/>
  <c r="I2293" i="5"/>
  <c r="I2292" i="5"/>
  <c r="I2285" i="5"/>
  <c r="I2284" i="5"/>
  <c r="I2283" i="5"/>
  <c r="I2277" i="5"/>
  <c r="I2276" i="5"/>
  <c r="I2275" i="5"/>
  <c r="I2269" i="5"/>
  <c r="I2268" i="5"/>
  <c r="I2267" i="5"/>
  <c r="I2261" i="5"/>
  <c r="I2259" i="5"/>
  <c r="I2253" i="5"/>
  <c r="I2251" i="5"/>
  <c r="I2245" i="5"/>
  <c r="I2244" i="5"/>
  <c r="I2243" i="5"/>
  <c r="I2239" i="5"/>
  <c r="I2238" i="5"/>
  <c r="I2237" i="5"/>
  <c r="I2229" i="5"/>
  <c r="I2228" i="5"/>
  <c r="I2227" i="5"/>
  <c r="I2223" i="5"/>
  <c r="I2222" i="5"/>
  <c r="I2221" i="5"/>
  <c r="I2217" i="5"/>
  <c r="I2216" i="5"/>
  <c r="I2215" i="5"/>
  <c r="I2211" i="5"/>
  <c r="I2210" i="5"/>
  <c r="I2209" i="5"/>
  <c r="E2206" i="5"/>
  <c r="I2204" i="5"/>
  <c r="I2203" i="5"/>
  <c r="I2202" i="5"/>
  <c r="I2199" i="5"/>
  <c r="I2198" i="5"/>
  <c r="I2197" i="5"/>
  <c r="I2196" i="5"/>
  <c r="I2195" i="5"/>
  <c r="E2194" i="5"/>
  <c r="E2193" i="5"/>
  <c r="I2191" i="5"/>
  <c r="I2190" i="5"/>
  <c r="I2189" i="5"/>
  <c r="I2188" i="5"/>
  <c r="I2187" i="5"/>
  <c r="E2186" i="5"/>
  <c r="E2185" i="5"/>
  <c r="I2183" i="5"/>
  <c r="I2182" i="5"/>
  <c r="I2181" i="5"/>
  <c r="I2180" i="5"/>
  <c r="I2179" i="5"/>
  <c r="E2178" i="5"/>
  <c r="E2177" i="5"/>
  <c r="I2175" i="5"/>
  <c r="I2173" i="5"/>
  <c r="I2172" i="5"/>
  <c r="I2171" i="5"/>
  <c r="E2170" i="5"/>
  <c r="E2169" i="5"/>
  <c r="I2167" i="5"/>
  <c r="I2165" i="5"/>
  <c r="I2164" i="5"/>
  <c r="I2163" i="5"/>
  <c r="E2162" i="5"/>
  <c r="E2161" i="5"/>
  <c r="I2159" i="5"/>
  <c r="I2158" i="5"/>
  <c r="I2157" i="5"/>
  <c r="I2156" i="5"/>
  <c r="I2155" i="5"/>
  <c r="E2154" i="5"/>
  <c r="E2153" i="5"/>
  <c r="I2151" i="5"/>
  <c r="I2150" i="5"/>
  <c r="I2149" i="5"/>
  <c r="I2148" i="5"/>
  <c r="I2147" i="5"/>
  <c r="E2146" i="5"/>
  <c r="E2145" i="5"/>
  <c r="I2143" i="5"/>
  <c r="I2141" i="5"/>
  <c r="I2140" i="5"/>
  <c r="I2139" i="5"/>
  <c r="E2138" i="5"/>
  <c r="E2137" i="5"/>
  <c r="I2135" i="5"/>
  <c r="I2134" i="5"/>
  <c r="I2133" i="5"/>
  <c r="I2129" i="5"/>
  <c r="I2127" i="5"/>
  <c r="I2123" i="5"/>
  <c r="I2122" i="5"/>
  <c r="I2121" i="5"/>
  <c r="I2117" i="5"/>
  <c r="I2116" i="5"/>
  <c r="I2115" i="5"/>
  <c r="I2111" i="5"/>
  <c r="I2109" i="5"/>
  <c r="I2105" i="5"/>
  <c r="I2104" i="5"/>
  <c r="I2103" i="5"/>
  <c r="I2102" i="5"/>
  <c r="I2101" i="5"/>
  <c r="E2100" i="5"/>
  <c r="E2099" i="5"/>
  <c r="I2097" i="5"/>
  <c r="I2095" i="5"/>
  <c r="I2094" i="5"/>
  <c r="I2093" i="5"/>
  <c r="E2092" i="5"/>
  <c r="E2091" i="5"/>
  <c r="I2089" i="5"/>
  <c r="I2088" i="5"/>
  <c r="I2087" i="5"/>
  <c r="I2086" i="5"/>
  <c r="I2085" i="5"/>
  <c r="E2084" i="5"/>
  <c r="E2083" i="5"/>
  <c r="I2081" i="5"/>
  <c r="I2080" i="5"/>
  <c r="I2079" i="5"/>
  <c r="I2078" i="5"/>
  <c r="I2077" i="5"/>
  <c r="E2076" i="5"/>
  <c r="E2075" i="5"/>
  <c r="I2073" i="5"/>
  <c r="I2072" i="5"/>
  <c r="I2071" i="5"/>
  <c r="I2070" i="5"/>
  <c r="I2069" i="5"/>
  <c r="E2068" i="5"/>
  <c r="E2067" i="5"/>
  <c r="I2065" i="5"/>
  <c r="I2063" i="5"/>
  <c r="I2062" i="5"/>
  <c r="I2061" i="5"/>
  <c r="E2060" i="5"/>
  <c r="E2059" i="5"/>
  <c r="I2057" i="5"/>
  <c r="I2056" i="5"/>
  <c r="I2055" i="5"/>
  <c r="I2054" i="5"/>
  <c r="I2053" i="5"/>
  <c r="E2052" i="5"/>
  <c r="E2051" i="5"/>
  <c r="I2049" i="5"/>
  <c r="I2047" i="5"/>
  <c r="I2046" i="5"/>
  <c r="I2045" i="5"/>
  <c r="E2044" i="5"/>
  <c r="E2043" i="5"/>
  <c r="I2041" i="5"/>
  <c r="I2040" i="5"/>
  <c r="I2039" i="5"/>
  <c r="I2038" i="5"/>
  <c r="I2037" i="5"/>
  <c r="E2036" i="5"/>
  <c r="E2035" i="5"/>
  <c r="I2033" i="5"/>
  <c r="I2031" i="5"/>
  <c r="I2030" i="5"/>
  <c r="I2029" i="5"/>
  <c r="E2028" i="5"/>
  <c r="E2027" i="5"/>
  <c r="I2025" i="5"/>
  <c r="I2024" i="5"/>
  <c r="I2023" i="5"/>
  <c r="I2022" i="5"/>
  <c r="I2021" i="5"/>
  <c r="E2020" i="5"/>
  <c r="E2019" i="5"/>
  <c r="I2017" i="5"/>
  <c r="I2015" i="5"/>
  <c r="I2011" i="5"/>
  <c r="I2010" i="5"/>
  <c r="I2009" i="5"/>
  <c r="I2004" i="5"/>
  <c r="I2003" i="5"/>
  <c r="I2002" i="5"/>
  <c r="I1997" i="5"/>
  <c r="I1996" i="5"/>
  <c r="I1995" i="5"/>
  <c r="I1990" i="5"/>
  <c r="I1988" i="5"/>
  <c r="I1983" i="5"/>
  <c r="I1982" i="5"/>
  <c r="I1981" i="5"/>
  <c r="I1975" i="5"/>
  <c r="I1973" i="5"/>
  <c r="I1967" i="5"/>
  <c r="I1966" i="5"/>
  <c r="I1965" i="5"/>
  <c r="I1960" i="5"/>
  <c r="I1958" i="5"/>
  <c r="I1953" i="5"/>
  <c r="I1952" i="5"/>
  <c r="I1951" i="5"/>
  <c r="I1947" i="5"/>
  <c r="I1946" i="5"/>
  <c r="I1945" i="5"/>
  <c r="I1941" i="5"/>
  <c r="I1940" i="5"/>
  <c r="I1939" i="5"/>
  <c r="I1936" i="5"/>
  <c r="I1935" i="5"/>
  <c r="I1934" i="5"/>
  <c r="I1931" i="5"/>
  <c r="I1930" i="5"/>
  <c r="I1929" i="5"/>
  <c r="I1926" i="5"/>
  <c r="I1925" i="5"/>
  <c r="I1924" i="5"/>
  <c r="I1920" i="5"/>
  <c r="I1919" i="5"/>
  <c r="I1918" i="5"/>
  <c r="I1915" i="5"/>
  <c r="I1914" i="5"/>
  <c r="I1913" i="5"/>
  <c r="I1910" i="5"/>
  <c r="I1909" i="5"/>
  <c r="I1908" i="5"/>
  <c r="I1905" i="5"/>
  <c r="I1904" i="5"/>
  <c r="I1903" i="5"/>
  <c r="I1899" i="5"/>
  <c r="I1898" i="5"/>
  <c r="I1897" i="5"/>
  <c r="I1893" i="5"/>
  <c r="I1892" i="5"/>
  <c r="I1891" i="5"/>
  <c r="I1887" i="5"/>
  <c r="I1886" i="5"/>
  <c r="I1885" i="5"/>
  <c r="I1881" i="5"/>
  <c r="I1880" i="5"/>
  <c r="I1879" i="5"/>
  <c r="I1875" i="5"/>
  <c r="I1874" i="5"/>
  <c r="I1873" i="5"/>
  <c r="I1869" i="5"/>
  <c r="I1868" i="5"/>
  <c r="I1867" i="5"/>
  <c r="I1863" i="5"/>
  <c r="I1862" i="5"/>
  <c r="I1861" i="5"/>
  <c r="I1857" i="5"/>
  <c r="I1856" i="5"/>
  <c r="I1855" i="5"/>
  <c r="I1851" i="5"/>
  <c r="I1850" i="5"/>
  <c r="I1849" i="5"/>
  <c r="I1845" i="5"/>
  <c r="I1844" i="5"/>
  <c r="I1843" i="5"/>
  <c r="I1839" i="5"/>
  <c r="I1838" i="5"/>
  <c r="I1837" i="5"/>
  <c r="I1833" i="5"/>
  <c r="I1832" i="5"/>
  <c r="I1831" i="5"/>
  <c r="I1826" i="5"/>
  <c r="I1825" i="5"/>
  <c r="I1824" i="5"/>
  <c r="I1820" i="5"/>
  <c r="I1819" i="5"/>
  <c r="I1818" i="5"/>
  <c r="I1814" i="5"/>
  <c r="I1813" i="5"/>
  <c r="I1812" i="5"/>
  <c r="I1809" i="5"/>
  <c r="I1808" i="5"/>
  <c r="I1807" i="5"/>
  <c r="I1804" i="5"/>
  <c r="I1803" i="5"/>
  <c r="I1802" i="5"/>
  <c r="I1798" i="5"/>
  <c r="I1796" i="5"/>
  <c r="I1791" i="5"/>
  <c r="I1790" i="5"/>
  <c r="I1789" i="5"/>
  <c r="I1784" i="5"/>
  <c r="I1783" i="5"/>
  <c r="I1782" i="5"/>
  <c r="I1777" i="5"/>
  <c r="I1776" i="5"/>
  <c r="I1775" i="5"/>
  <c r="I1770" i="5"/>
  <c r="I1768" i="5"/>
  <c r="I1763" i="5"/>
  <c r="I1762" i="5"/>
  <c r="I1761" i="5"/>
  <c r="I1756" i="5"/>
  <c r="I1755" i="5"/>
  <c r="I1754" i="5"/>
  <c r="I1749" i="5"/>
  <c r="I1748" i="5"/>
  <c r="I1747" i="5"/>
  <c r="I1738" i="5"/>
  <c r="I1737" i="5"/>
  <c r="I1736" i="5"/>
  <c r="I1727" i="5"/>
  <c r="I1726" i="5"/>
  <c r="I1725" i="5"/>
  <c r="I1716" i="5"/>
  <c r="I1715" i="5"/>
  <c r="I1714" i="5"/>
  <c r="I1705" i="5"/>
  <c r="I1704" i="5"/>
  <c r="I1703" i="5"/>
  <c r="I1697" i="5"/>
  <c r="I1696" i="5"/>
  <c r="I1695" i="5"/>
  <c r="I1691" i="5"/>
  <c r="I1690" i="5"/>
  <c r="I1689" i="5"/>
  <c r="I1684" i="5"/>
  <c r="I1683" i="5"/>
  <c r="I1682" i="5"/>
  <c r="I1677" i="5"/>
  <c r="I1676" i="5"/>
  <c r="I1675" i="5"/>
  <c r="I1671" i="5"/>
  <c r="I1670" i="5"/>
  <c r="F1670" i="5"/>
  <c r="I1669" i="5"/>
  <c r="I1666" i="5"/>
  <c r="I1665" i="5"/>
  <c r="I1664" i="5"/>
  <c r="I1661" i="5"/>
  <c r="I1660" i="5"/>
  <c r="I1659" i="5"/>
  <c r="I1656" i="5"/>
  <c r="I1655" i="5"/>
  <c r="I1654" i="5"/>
  <c r="E1652" i="5"/>
  <c r="E1651" i="5"/>
  <c r="I1650" i="5"/>
  <c r="I1649" i="5"/>
  <c r="I1648" i="5"/>
  <c r="I1644" i="5"/>
  <c r="I1643" i="5"/>
  <c r="I1642" i="5"/>
  <c r="I1638" i="5"/>
  <c r="I1637" i="5"/>
  <c r="I1636" i="5"/>
  <c r="I1632" i="5"/>
  <c r="I1630" i="5"/>
  <c r="I1627" i="5"/>
  <c r="I1626" i="5"/>
  <c r="I1625" i="5"/>
  <c r="I1621" i="5"/>
  <c r="I1619" i="5"/>
  <c r="I1615" i="5"/>
  <c r="I1614" i="5"/>
  <c r="I1613" i="5"/>
  <c r="I1610" i="5"/>
  <c r="I1609" i="5"/>
  <c r="I1608" i="5"/>
  <c r="E1605" i="5"/>
  <c r="E1604" i="5"/>
  <c r="I1603" i="5"/>
  <c r="I1602" i="5"/>
  <c r="I1601" i="5"/>
  <c r="I1597" i="5"/>
  <c r="I1596" i="5"/>
  <c r="I1595" i="5"/>
  <c r="I1591" i="5"/>
  <c r="I1590" i="5"/>
  <c r="I1589" i="5"/>
  <c r="I1585" i="5"/>
  <c r="I1584" i="5"/>
  <c r="I1583" i="5"/>
  <c r="I1570" i="5"/>
  <c r="I1569" i="5"/>
  <c r="I1568" i="5"/>
  <c r="I1563" i="5"/>
  <c r="I1562" i="5"/>
  <c r="I1561" i="5"/>
  <c r="I1556" i="5"/>
  <c r="I1555" i="5"/>
  <c r="I1554" i="5"/>
  <c r="I1549" i="5"/>
  <c r="I1548" i="5"/>
  <c r="I1547" i="5"/>
  <c r="I1542" i="5"/>
  <c r="I1541" i="5"/>
  <c r="I1540" i="5"/>
  <c r="I1534" i="5"/>
  <c r="I1533" i="5"/>
  <c r="I1532" i="5"/>
  <c r="I1526" i="5"/>
  <c r="I1525" i="5"/>
  <c r="I1524" i="5"/>
  <c r="I1518" i="5"/>
  <c r="I1517" i="5"/>
  <c r="I1516" i="5"/>
  <c r="I1510" i="5"/>
  <c r="I1509" i="5"/>
  <c r="I1508" i="5"/>
  <c r="I1502" i="5"/>
  <c r="I1501" i="5"/>
  <c r="I1500" i="5"/>
  <c r="I1487" i="5"/>
  <c r="I1486" i="5"/>
  <c r="I1485" i="5"/>
  <c r="I1472" i="5"/>
  <c r="I1471" i="5"/>
  <c r="I1470" i="5"/>
  <c r="I1457" i="5"/>
  <c r="I1456" i="5"/>
  <c r="I1455" i="5"/>
  <c r="I1442" i="5"/>
  <c r="I1441" i="5"/>
  <c r="I1440" i="5"/>
  <c r="I1427" i="5"/>
  <c r="I1426" i="5"/>
  <c r="I1425" i="5"/>
  <c r="I1412" i="5"/>
  <c r="I1411" i="5"/>
  <c r="I1410" i="5"/>
  <c r="I1397" i="5"/>
  <c r="I1396" i="5"/>
  <c r="I1395" i="5"/>
  <c r="I1390" i="5"/>
  <c r="I1389" i="5"/>
  <c r="I1388" i="5"/>
  <c r="I1384" i="5"/>
  <c r="I1383" i="5"/>
  <c r="I1382" i="5"/>
  <c r="I1378" i="5"/>
  <c r="I1377" i="5"/>
  <c r="I1376" i="5"/>
  <c r="I1372" i="5"/>
  <c r="I1371" i="5"/>
  <c r="I1370" i="5"/>
  <c r="I1366" i="5"/>
  <c r="I1365" i="5"/>
  <c r="I1364" i="5"/>
  <c r="I1360" i="5"/>
  <c r="I1359" i="5"/>
  <c r="I1358" i="5"/>
  <c r="I1354" i="5"/>
  <c r="I1353" i="5"/>
  <c r="I1352" i="5"/>
  <c r="I1347" i="5"/>
  <c r="I1346" i="5"/>
  <c r="I1345" i="5"/>
  <c r="I1341" i="5"/>
  <c r="I1340" i="5"/>
  <c r="I1339" i="5"/>
  <c r="I1334" i="5"/>
  <c r="I1332" i="5"/>
  <c r="I1329" i="5"/>
  <c r="I1328" i="5"/>
  <c r="I1327" i="5"/>
  <c r="I1324" i="5"/>
  <c r="I1323" i="5"/>
  <c r="I1322" i="5"/>
  <c r="I1319" i="5"/>
  <c r="I1318" i="5"/>
  <c r="I1317" i="5"/>
  <c r="I1314" i="5"/>
  <c r="I1312" i="5"/>
  <c r="I1305" i="5"/>
  <c r="I1304" i="5"/>
  <c r="I1303" i="5"/>
  <c r="I1297" i="5"/>
  <c r="I1296" i="5"/>
  <c r="I1295" i="5"/>
  <c r="I1290" i="5"/>
  <c r="I1289" i="5"/>
  <c r="I1288" i="5"/>
  <c r="I1283" i="5"/>
  <c r="I1282" i="5"/>
  <c r="I1281" i="5"/>
  <c r="I1276" i="5"/>
  <c r="I1275" i="5"/>
  <c r="I1274" i="5"/>
  <c r="I1269" i="5"/>
  <c r="I1268" i="5"/>
  <c r="I1267" i="5"/>
  <c r="I1263" i="5"/>
  <c r="I1262" i="5"/>
  <c r="I1261" i="5"/>
  <c r="I1256" i="5"/>
  <c r="I1254" i="5"/>
  <c r="I1249" i="5"/>
  <c r="I1248" i="5"/>
  <c r="I1247" i="5"/>
  <c r="I1242" i="5"/>
  <c r="I1241" i="5"/>
  <c r="I1240" i="5"/>
  <c r="I1235" i="5"/>
  <c r="I1234" i="5"/>
  <c r="I1233" i="5"/>
  <c r="I1228" i="5"/>
  <c r="I1227" i="5"/>
  <c r="I1226" i="5"/>
  <c r="I1221" i="5"/>
  <c r="I1220" i="5"/>
  <c r="I1219" i="5"/>
  <c r="I1214" i="5"/>
  <c r="I1213" i="5"/>
  <c r="I1212" i="5"/>
  <c r="I1207" i="5"/>
  <c r="I1206" i="5"/>
  <c r="I1205" i="5"/>
  <c r="I1200" i="5"/>
  <c r="I1199" i="5"/>
  <c r="I1198" i="5"/>
  <c r="I1193" i="5"/>
  <c r="I1192" i="5"/>
  <c r="I1191" i="5"/>
  <c r="I1186" i="5"/>
  <c r="I1185" i="5"/>
  <c r="I1184" i="5"/>
  <c r="I1179" i="5"/>
  <c r="I1178" i="5"/>
  <c r="I1177" i="5"/>
  <c r="I1172" i="5"/>
  <c r="I1170" i="5"/>
  <c r="I1165" i="5"/>
  <c r="I1164" i="5"/>
  <c r="I1163" i="5"/>
  <c r="I1158" i="5"/>
  <c r="I1157" i="5"/>
  <c r="I1156" i="5"/>
  <c r="I1151" i="5"/>
  <c r="I1150" i="5"/>
  <c r="I1149" i="5"/>
  <c r="I1144" i="5"/>
  <c r="I1143" i="5"/>
  <c r="I1142" i="5"/>
  <c r="I1137" i="5"/>
  <c r="I1136" i="5"/>
  <c r="I1135" i="5"/>
  <c r="I1130" i="5"/>
  <c r="I1129" i="5"/>
  <c r="I1128" i="5"/>
  <c r="I1125" i="5"/>
  <c r="I1124" i="5"/>
  <c r="I1123" i="5"/>
  <c r="I1119" i="5"/>
  <c r="I1118" i="5"/>
  <c r="I1117" i="5"/>
  <c r="I1114" i="5"/>
  <c r="I1113" i="5"/>
  <c r="I1112" i="5"/>
  <c r="I1109" i="5"/>
  <c r="I1108" i="5"/>
  <c r="I1107" i="5"/>
  <c r="I1101" i="5"/>
  <c r="I1100" i="5"/>
  <c r="I1099" i="5"/>
  <c r="I1098" i="5"/>
  <c r="I1097" i="5"/>
  <c r="E1096" i="5"/>
  <c r="E1095" i="5"/>
  <c r="E1094" i="5"/>
  <c r="I1091" i="5"/>
  <c r="I1090" i="5"/>
  <c r="I1089" i="5"/>
  <c r="I1083" i="5"/>
  <c r="I1082" i="5"/>
  <c r="I1081" i="5"/>
  <c r="I1075" i="5"/>
  <c r="I1074" i="5"/>
  <c r="I1073" i="5"/>
  <c r="I1072" i="5"/>
  <c r="I1071" i="5"/>
  <c r="E1070" i="5"/>
  <c r="E1069" i="5"/>
  <c r="I1066" i="5"/>
  <c r="I1065" i="5"/>
  <c r="I1064" i="5"/>
  <c r="I1059" i="5"/>
  <c r="I1058" i="5"/>
  <c r="I1057" i="5"/>
  <c r="I1052" i="5"/>
  <c r="I1050" i="5"/>
  <c r="I1045" i="5"/>
  <c r="I1043" i="5"/>
  <c r="I1038" i="5"/>
  <c r="I1037" i="5"/>
  <c r="I1036" i="5"/>
  <c r="I1029" i="5"/>
  <c r="I1028" i="5"/>
  <c r="I1027" i="5"/>
  <c r="I1019" i="5"/>
  <c r="I1018" i="5"/>
  <c r="I1017" i="5"/>
  <c r="I1014" i="5"/>
  <c r="I1013" i="5"/>
  <c r="I1012" i="5"/>
  <c r="I1005" i="5"/>
  <c r="I1003" i="5"/>
  <c r="I1000" i="5"/>
  <c r="I999" i="5"/>
  <c r="I998" i="5"/>
  <c r="I995" i="5"/>
  <c r="I994" i="5"/>
  <c r="I993" i="5"/>
  <c r="I984" i="5"/>
  <c r="I983" i="5"/>
  <c r="I982" i="5"/>
  <c r="I973" i="5"/>
  <c r="I971" i="5"/>
  <c r="I966" i="5"/>
  <c r="I964" i="5"/>
  <c r="I959" i="5"/>
  <c r="I958" i="5"/>
  <c r="I957" i="5"/>
  <c r="I952" i="5"/>
  <c r="I951" i="5"/>
  <c r="I950" i="5"/>
  <c r="I946" i="5"/>
  <c r="I945" i="5"/>
  <c r="I944" i="5"/>
  <c r="I940" i="5"/>
  <c r="I938" i="5"/>
  <c r="I931" i="5"/>
  <c r="I930" i="5"/>
  <c r="I929" i="5"/>
  <c r="I922" i="5"/>
  <c r="I921" i="5"/>
  <c r="I920" i="5"/>
  <c r="I915" i="5"/>
  <c r="I913" i="5"/>
  <c r="I906" i="5"/>
  <c r="I904" i="5"/>
  <c r="I900" i="5"/>
  <c r="I899" i="5"/>
  <c r="I898" i="5"/>
  <c r="E897" i="5"/>
  <c r="I896" i="5"/>
  <c r="I895" i="5"/>
  <c r="I894" i="5"/>
  <c r="I889" i="5"/>
  <c r="I887" i="5"/>
  <c r="E886" i="5"/>
  <c r="E885" i="5"/>
  <c r="I884" i="5"/>
  <c r="I883" i="5"/>
  <c r="I882" i="5"/>
  <c r="I877" i="5"/>
  <c r="I875" i="5"/>
  <c r="I870" i="5"/>
  <c r="I869" i="5"/>
  <c r="I868" i="5"/>
  <c r="I867" i="5"/>
  <c r="I866" i="5"/>
  <c r="E865" i="5"/>
  <c r="E864" i="5"/>
  <c r="I862" i="5"/>
  <c r="I861" i="5"/>
  <c r="I860" i="5"/>
  <c r="I856" i="5"/>
  <c r="I855" i="5"/>
  <c r="I854" i="5"/>
  <c r="I849" i="5"/>
  <c r="I848" i="5"/>
  <c r="I847" i="5"/>
  <c r="E845" i="5"/>
  <c r="I843" i="5"/>
  <c r="I842" i="5"/>
  <c r="I841" i="5"/>
  <c r="I838" i="5"/>
  <c r="I837" i="5"/>
  <c r="I836" i="5"/>
  <c r="I832" i="5"/>
  <c r="I831" i="5"/>
  <c r="I830" i="5"/>
  <c r="I825" i="5"/>
  <c r="I823" i="5"/>
  <c r="I820" i="5"/>
  <c r="I819" i="5"/>
  <c r="I818" i="5"/>
  <c r="E817" i="5"/>
  <c r="I816" i="5"/>
  <c r="I814" i="5"/>
  <c r="E812" i="5"/>
  <c r="I811" i="5"/>
  <c r="I810" i="5"/>
  <c r="I809" i="5"/>
  <c r="I807" i="5"/>
  <c r="I806" i="5"/>
  <c r="I805" i="5"/>
  <c r="I797" i="5"/>
  <c r="I796" i="5"/>
  <c r="I795" i="5"/>
  <c r="I783" i="5"/>
  <c r="I781" i="5"/>
  <c r="I776" i="5"/>
  <c r="I775" i="5"/>
  <c r="I774" i="5"/>
  <c r="I765" i="5"/>
  <c r="I764" i="5"/>
  <c r="I763" i="5"/>
  <c r="E762" i="5"/>
  <c r="I759" i="5"/>
  <c r="I758" i="5"/>
  <c r="I757" i="5"/>
  <c r="I748" i="5"/>
  <c r="I747" i="5"/>
  <c r="I746" i="5"/>
  <c r="E743" i="5"/>
  <c r="E742" i="5"/>
  <c r="I741" i="5"/>
  <c r="I740" i="5"/>
  <c r="I739" i="5"/>
  <c r="I737" i="5"/>
  <c r="I736" i="5"/>
  <c r="I735" i="5"/>
  <c r="E730" i="5"/>
  <c r="I729" i="5"/>
  <c r="I727" i="5"/>
  <c r="I723" i="5"/>
  <c r="I721" i="5"/>
  <c r="E720" i="5"/>
  <c r="E719" i="5"/>
  <c r="E718" i="5"/>
  <c r="E717" i="5"/>
  <c r="I716" i="5"/>
  <c r="I714" i="5"/>
  <c r="E713" i="5"/>
  <c r="E712" i="5"/>
  <c r="E711" i="5"/>
  <c r="I709" i="5"/>
  <c r="I707" i="5"/>
  <c r="E706" i="5"/>
  <c r="E705" i="5"/>
  <c r="E704" i="5"/>
  <c r="I701" i="5"/>
  <c r="I700" i="5"/>
  <c r="I699" i="5"/>
  <c r="E698" i="5"/>
  <c r="E697" i="5"/>
  <c r="E696" i="5"/>
  <c r="E695" i="5"/>
  <c r="E694" i="5"/>
  <c r="I693" i="5"/>
  <c r="I692" i="5"/>
  <c r="I691" i="5"/>
  <c r="I685" i="5"/>
  <c r="I684" i="5"/>
  <c r="I683" i="5"/>
  <c r="E682" i="5"/>
  <c r="E681" i="5"/>
  <c r="E680" i="5"/>
  <c r="I677" i="5"/>
  <c r="I675" i="5"/>
  <c r="E674" i="5"/>
  <c r="E673" i="5"/>
  <c r="E672" i="5"/>
  <c r="E671" i="5"/>
  <c r="E670" i="5"/>
  <c r="I669" i="5"/>
  <c r="I667" i="5"/>
  <c r="I665" i="5"/>
  <c r="I664" i="5"/>
  <c r="F664" i="5"/>
  <c r="I663" i="5"/>
  <c r="I661" i="5"/>
  <c r="I660" i="5"/>
  <c r="F660" i="5"/>
  <c r="I659" i="5"/>
  <c r="I657" i="5"/>
  <c r="I656" i="5"/>
  <c r="F656" i="5"/>
  <c r="I655" i="5"/>
  <c r="I653" i="5"/>
  <c r="I652" i="5"/>
  <c r="I651" i="5"/>
  <c r="I649" i="5"/>
  <c r="I648" i="5"/>
  <c r="I647" i="5"/>
  <c r="I645" i="5"/>
  <c r="I644" i="5"/>
  <c r="I643" i="5"/>
  <c r="I638" i="5"/>
  <c r="I637" i="5"/>
  <c r="I636" i="5"/>
  <c r="I630" i="5"/>
  <c r="I628" i="5"/>
  <c r="I622" i="5"/>
  <c r="I621" i="5"/>
  <c r="I620" i="5"/>
  <c r="I616" i="5"/>
  <c r="I615" i="5"/>
  <c r="I614" i="5"/>
  <c r="I613" i="5"/>
  <c r="I612" i="5"/>
  <c r="E611" i="5"/>
  <c r="E610" i="5"/>
  <c r="E609" i="5"/>
  <c r="E608" i="5"/>
  <c r="I607" i="5"/>
  <c r="I605" i="5"/>
  <c r="I604" i="5"/>
  <c r="I603" i="5"/>
  <c r="E602" i="5"/>
  <c r="E601" i="5"/>
  <c r="E600" i="5"/>
  <c r="E599" i="5"/>
  <c r="E598" i="5"/>
  <c r="I597" i="5"/>
  <c r="I595" i="5"/>
  <c r="I589" i="5"/>
  <c r="I588" i="5"/>
  <c r="I587" i="5"/>
  <c r="I586" i="5"/>
  <c r="I585" i="5"/>
  <c r="E584" i="5"/>
  <c r="E583" i="5"/>
  <c r="E582" i="5"/>
  <c r="E581" i="5"/>
  <c r="I580" i="5"/>
  <c r="I579" i="5"/>
  <c r="I578" i="5"/>
  <c r="I577" i="5"/>
  <c r="I576" i="5"/>
  <c r="E575" i="5"/>
  <c r="E574" i="5"/>
  <c r="E573" i="5"/>
  <c r="E572" i="5"/>
  <c r="E571" i="5"/>
  <c r="I570" i="5"/>
  <c r="I568" i="5"/>
  <c r="I562" i="5"/>
  <c r="I561" i="5"/>
  <c r="I560" i="5"/>
  <c r="I554" i="5"/>
  <c r="I553" i="5"/>
  <c r="I552" i="5"/>
  <c r="I546" i="5"/>
  <c r="I544" i="5"/>
  <c r="I538" i="5"/>
  <c r="I537" i="5"/>
  <c r="I536" i="5"/>
  <c r="I532" i="5"/>
  <c r="I531" i="5"/>
  <c r="I530" i="5"/>
  <c r="E529" i="5"/>
  <c r="I525" i="5"/>
  <c r="I523" i="5"/>
  <c r="I518" i="5"/>
  <c r="I517" i="5"/>
  <c r="I516" i="5"/>
  <c r="I512" i="5"/>
  <c r="I510" i="5"/>
  <c r="I505" i="5"/>
  <c r="I504" i="5"/>
  <c r="I503" i="5"/>
  <c r="I498" i="5"/>
  <c r="I497" i="5"/>
  <c r="I496" i="5"/>
  <c r="I495" i="5"/>
  <c r="I494" i="5"/>
  <c r="I493" i="5"/>
  <c r="E492" i="5"/>
  <c r="E491" i="5"/>
  <c r="I490" i="5"/>
  <c r="I488" i="5"/>
  <c r="I484" i="5"/>
  <c r="I483" i="5"/>
  <c r="I482" i="5"/>
  <c r="I481" i="5"/>
  <c r="I480" i="5"/>
  <c r="I479" i="5"/>
  <c r="I478" i="5"/>
  <c r="E477" i="5"/>
  <c r="E476" i="5"/>
  <c r="I472" i="5"/>
  <c r="I471" i="5"/>
  <c r="I470" i="5"/>
  <c r="E469" i="5"/>
  <c r="E468" i="5"/>
  <c r="E467" i="5"/>
  <c r="E466" i="5"/>
  <c r="I465" i="5"/>
  <c r="I463" i="5"/>
  <c r="I462" i="5"/>
  <c r="I461" i="5"/>
  <c r="I460" i="5"/>
  <c r="E459" i="5"/>
  <c r="E457" i="5"/>
  <c r="E456" i="5"/>
  <c r="I455" i="5"/>
  <c r="I454" i="5"/>
  <c r="I453" i="5"/>
  <c r="I452" i="5"/>
  <c r="I451" i="5"/>
  <c r="I447" i="5"/>
  <c r="I446" i="5"/>
  <c r="I445" i="5"/>
  <c r="I441" i="5"/>
  <c r="I439" i="5"/>
  <c r="I435" i="5"/>
  <c r="I433" i="5"/>
  <c r="I423" i="5"/>
  <c r="I422" i="5"/>
  <c r="I421" i="5"/>
  <c r="E420" i="5"/>
  <c r="E419" i="5"/>
  <c r="I416" i="5"/>
  <c r="I415" i="5"/>
  <c r="I414" i="5"/>
  <c r="I402" i="5"/>
  <c r="I401" i="5"/>
  <c r="I400" i="5"/>
  <c r="I395" i="5"/>
  <c r="I394" i="5"/>
  <c r="I393" i="5"/>
  <c r="I381" i="5"/>
  <c r="I380" i="5"/>
  <c r="I379" i="5"/>
  <c r="I372" i="5"/>
  <c r="I371" i="5"/>
  <c r="I370" i="5"/>
  <c r="I366" i="5"/>
  <c r="I365" i="5"/>
  <c r="I364" i="5"/>
  <c r="I363" i="5"/>
  <c r="I362" i="5"/>
  <c r="E361" i="5"/>
  <c r="E360" i="5"/>
  <c r="I352" i="5"/>
  <c r="I351" i="5"/>
  <c r="I350" i="5"/>
  <c r="I342" i="5"/>
  <c r="I341" i="5"/>
  <c r="I340" i="5"/>
  <c r="E334" i="5"/>
  <c r="I327" i="5"/>
  <c r="I326" i="5"/>
  <c r="I325" i="5"/>
  <c r="I321" i="5"/>
  <c r="I320" i="5"/>
  <c r="I319" i="5"/>
  <c r="I318" i="5"/>
  <c r="I317" i="5"/>
  <c r="E316" i="5"/>
  <c r="E315" i="5"/>
  <c r="E311" i="5"/>
  <c r="I306" i="5"/>
  <c r="I305" i="5"/>
  <c r="I304" i="5"/>
  <c r="I303" i="5"/>
  <c r="I302" i="5"/>
  <c r="E301" i="5"/>
  <c r="E300" i="5"/>
  <c r="I291" i="5"/>
  <c r="I290" i="5"/>
  <c r="I289" i="5"/>
  <c r="I284" i="5"/>
  <c r="I283" i="5"/>
  <c r="I282" i="5"/>
  <c r="I277" i="5"/>
  <c r="I275" i="5"/>
  <c r="I269" i="5"/>
  <c r="I268" i="5"/>
  <c r="I267" i="5"/>
  <c r="I263" i="5"/>
  <c r="I262" i="5"/>
  <c r="I261" i="5"/>
  <c r="I248" i="5"/>
  <c r="I247" i="5"/>
  <c r="I246" i="5"/>
  <c r="I240" i="5"/>
  <c r="I239" i="5"/>
  <c r="I238" i="5"/>
  <c r="I236" i="5"/>
  <c r="I235" i="5"/>
  <c r="I234" i="5"/>
  <c r="I232" i="5"/>
  <c r="I230" i="5"/>
  <c r="I228" i="5"/>
  <c r="I227" i="5"/>
  <c r="F227" i="5"/>
  <c r="I226" i="5"/>
  <c r="I224" i="5"/>
  <c r="I223" i="5"/>
  <c r="I222" i="5"/>
  <c r="I219" i="5"/>
  <c r="I217" i="5"/>
  <c r="I214" i="5"/>
  <c r="I213" i="5"/>
  <c r="I212" i="5"/>
  <c r="I210" i="5"/>
  <c r="I209" i="5"/>
  <c r="I208" i="5"/>
  <c r="I205" i="5"/>
  <c r="I204" i="5"/>
  <c r="I203" i="5"/>
  <c r="E202" i="5"/>
  <c r="I201" i="5"/>
  <c r="I200" i="5"/>
  <c r="I199" i="5"/>
  <c r="I197" i="5"/>
  <c r="I196" i="5"/>
  <c r="I195" i="5"/>
  <c r="I190" i="5"/>
  <c r="I189" i="5"/>
  <c r="I188" i="5"/>
  <c r="I187" i="5"/>
  <c r="I186" i="5"/>
  <c r="E185" i="5"/>
  <c r="E184" i="5"/>
  <c r="I183" i="5"/>
  <c r="I181" i="5"/>
  <c r="I179" i="5"/>
  <c r="I178" i="5"/>
  <c r="I177" i="5"/>
  <c r="E176" i="5"/>
  <c r="I175" i="5"/>
  <c r="I174" i="5"/>
  <c r="I173" i="5"/>
  <c r="I171" i="5"/>
  <c r="I170" i="5"/>
  <c r="I169" i="5"/>
  <c r="I166" i="5"/>
  <c r="I165" i="5"/>
  <c r="I164" i="5"/>
  <c r="I161" i="5"/>
  <c r="I159" i="5"/>
  <c r="I158" i="5"/>
  <c r="I157" i="5"/>
  <c r="E156" i="5"/>
  <c r="E155" i="5"/>
  <c r="I154" i="5"/>
  <c r="I153" i="5"/>
  <c r="I152" i="5"/>
  <c r="I149" i="5"/>
  <c r="I147" i="5"/>
  <c r="I144" i="5"/>
  <c r="I143" i="5"/>
  <c r="I142" i="5"/>
  <c r="I139" i="5"/>
  <c r="I138" i="5"/>
  <c r="I137" i="5"/>
  <c r="E136" i="5"/>
  <c r="I135" i="5"/>
  <c r="I134" i="5"/>
  <c r="I133" i="5"/>
  <c r="I131" i="5"/>
  <c r="I130" i="5"/>
  <c r="I129" i="5"/>
  <c r="I126" i="5"/>
  <c r="I125" i="5"/>
  <c r="I124" i="5"/>
  <c r="I121" i="5"/>
  <c r="I120" i="5"/>
  <c r="I119" i="5"/>
  <c r="I117" i="5"/>
  <c r="I116" i="5"/>
  <c r="I115" i="5"/>
  <c r="I112" i="5"/>
  <c r="I111" i="5"/>
  <c r="I110" i="5"/>
  <c r="I107" i="5"/>
  <c r="I106" i="5"/>
  <c r="I105" i="5"/>
  <c r="E104" i="5"/>
  <c r="I103" i="5"/>
  <c r="I102" i="5"/>
  <c r="I101" i="5"/>
  <c r="I98" i="5"/>
  <c r="I97" i="5"/>
  <c r="I96" i="5"/>
  <c r="E95" i="5"/>
  <c r="E94" i="5"/>
  <c r="I93" i="5"/>
  <c r="I92" i="5"/>
  <c r="I91" i="5"/>
  <c r="E90" i="5"/>
  <c r="E89" i="5"/>
  <c r="I88" i="5"/>
  <c r="I87" i="5"/>
  <c r="I86" i="5"/>
  <c r="I83" i="5"/>
  <c r="I82" i="5"/>
  <c r="I81" i="5"/>
  <c r="I78" i="5"/>
  <c r="I77" i="5"/>
  <c r="I76" i="5"/>
  <c r="I70" i="5"/>
  <c r="I68" i="5"/>
  <c r="I65" i="5"/>
  <c r="I64" i="5"/>
  <c r="I63" i="5"/>
  <c r="I60" i="5"/>
  <c r="I59" i="5"/>
  <c r="I58" i="5"/>
  <c r="I53" i="5"/>
  <c r="I51" i="5"/>
  <c r="E50" i="5"/>
  <c r="E49" i="5"/>
  <c r="I48" i="5"/>
  <c r="I47" i="5"/>
  <c r="I46" i="5"/>
  <c r="I43" i="5"/>
  <c r="I41" i="5"/>
  <c r="I38" i="5"/>
  <c r="I36" i="5"/>
  <c r="I34" i="5"/>
  <c r="I33" i="5"/>
  <c r="I32" i="5"/>
  <c r="I29" i="5"/>
  <c r="I28" i="5"/>
  <c r="I27" i="5"/>
  <c r="I24" i="5"/>
  <c r="I23" i="5"/>
  <c r="I22" i="5"/>
  <c r="I19" i="5"/>
  <c r="I18" i="5"/>
  <c r="I17" i="5"/>
  <c r="I15" i="5"/>
  <c r="I14" i="5"/>
  <c r="I13" i="5"/>
  <c r="I11" i="5"/>
  <c r="I9" i="5"/>
  <c r="I7" i="5"/>
  <c r="I6" i="5"/>
  <c r="E3417" i="5" l="1"/>
  <c r="B17" i="9"/>
  <c r="H17" i="9"/>
  <c r="C17" i="9"/>
  <c r="I824" i="5"/>
  <c r="I434" i="5"/>
  <c r="I440" i="5"/>
  <c r="I3073" i="5"/>
  <c r="I939" i="5"/>
  <c r="I3066" i="5"/>
  <c r="I722" i="5"/>
  <c r="I1313" i="5"/>
  <c r="I2260" i="5"/>
  <c r="I10" i="5"/>
  <c r="I815" i="5"/>
  <c r="I148" i="5"/>
  <c r="I182" i="5"/>
  <c r="I569" i="5"/>
  <c r="I715" i="5"/>
  <c r="I876" i="5"/>
  <c r="I888" i="5"/>
  <c r="I905" i="5"/>
  <c r="I1004" i="5"/>
  <c r="I1044" i="5"/>
  <c r="I1051" i="5"/>
  <c r="I782" i="5"/>
  <c r="I2142" i="5"/>
  <c r="I3611" i="5"/>
  <c r="I3038" i="5"/>
  <c r="I3441" i="5"/>
  <c r="I3469" i="5"/>
  <c r="I3759" i="5"/>
  <c r="I4100" i="5"/>
  <c r="I2940" i="5"/>
  <c r="I3506" i="5"/>
  <c r="I3774" i="5"/>
  <c r="I4233" i="5"/>
  <c r="I668" i="5"/>
  <c r="I231" i="5"/>
  <c r="I676" i="5"/>
  <c r="I37" i="5"/>
  <c r="I708" i="5"/>
  <c r="I728" i="5"/>
  <c r="I2048" i="5"/>
  <c r="I2252" i="5"/>
  <c r="I1255" i="5"/>
  <c r="I1333" i="5"/>
  <c r="I464" i="5"/>
  <c r="I914" i="5"/>
  <c r="I965" i="5"/>
  <c r="I1171" i="5"/>
  <c r="I2174" i="5"/>
  <c r="I2379" i="5"/>
  <c r="I606" i="5"/>
  <c r="I972" i="5"/>
  <c r="I3465" i="5"/>
  <c r="I3723" i="5"/>
  <c r="I3176" i="5"/>
  <c r="I3358" i="5"/>
  <c r="I218" i="5"/>
  <c r="I489" i="5"/>
  <c r="I596" i="5"/>
  <c r="I69" i="5"/>
  <c r="I160" i="5"/>
  <c r="I276" i="5"/>
  <c r="I511" i="5"/>
  <c r="I524" i="5"/>
  <c r="I545" i="5"/>
  <c r="I629" i="5"/>
  <c r="I2016" i="5"/>
  <c r="I2166" i="5"/>
  <c r="I2967" i="5"/>
  <c r="I3406" i="5"/>
  <c r="I3536" i="5"/>
  <c r="I3804" i="5"/>
  <c r="I3163" i="5"/>
  <c r="I2928" i="5"/>
  <c r="I3094" i="5"/>
  <c r="I3141" i="5"/>
  <c r="I3595" i="5"/>
  <c r="I3045" i="5"/>
  <c r="I3553" i="5"/>
  <c r="I3588" i="5"/>
  <c r="I4319" i="5"/>
  <c r="I42" i="5"/>
  <c r="I52" i="5"/>
  <c r="I1769" i="5"/>
  <c r="I1797" i="5"/>
  <c r="I1620" i="5"/>
  <c r="I1631" i="5"/>
  <c r="I1959" i="5"/>
  <c r="I1974" i="5"/>
  <c r="I1989" i="5"/>
  <c r="I2032" i="5"/>
  <c r="I2064" i="5"/>
  <c r="I2096" i="5"/>
  <c r="I2110" i="5"/>
  <c r="I2128" i="5"/>
  <c r="I2475" i="5"/>
  <c r="E3416" i="5"/>
  <c r="I3652" i="5"/>
  <c r="G13" i="8" l="1"/>
  <c r="G17" i="8"/>
  <c r="G19" i="8"/>
  <c r="G21" i="8"/>
  <c r="G23" i="8"/>
  <c r="G25" i="8"/>
  <c r="G27" i="8"/>
  <c r="G29" i="8"/>
  <c r="G35" i="8"/>
  <c r="G39" i="8"/>
  <c r="G41" i="8"/>
  <c r="G43" i="8"/>
  <c r="G45" i="8"/>
  <c r="G47" i="8"/>
  <c r="G49" i="8"/>
  <c r="G53" i="8"/>
  <c r="G55" i="8"/>
  <c r="G57" i="8"/>
  <c r="G59" i="8"/>
  <c r="G61" i="8"/>
  <c r="G63" i="8"/>
  <c r="G65" i="8"/>
  <c r="G67" i="8"/>
  <c r="G69" i="8"/>
  <c r="G71" i="8"/>
  <c r="G73" i="8"/>
  <c r="G77" i="8"/>
  <c r="G93" i="8"/>
  <c r="G95" i="8"/>
  <c r="G97" i="8"/>
  <c r="G99" i="8"/>
  <c r="G113" i="8"/>
  <c r="G115" i="8"/>
  <c r="G117" i="8"/>
  <c r="G119" i="8"/>
  <c r="G121" i="8"/>
  <c r="G125" i="8"/>
  <c r="G127" i="8"/>
  <c r="G133" i="8"/>
  <c r="G135" i="8"/>
  <c r="G137" i="8"/>
  <c r="G139" i="8"/>
  <c r="G141" i="8"/>
  <c r="G143" i="8"/>
  <c r="G145" i="8"/>
  <c r="G147" i="8"/>
  <c r="G151" i="8"/>
  <c r="G153" i="8"/>
  <c r="G157" i="8"/>
  <c r="G161" i="8"/>
  <c r="G165" i="8"/>
  <c r="G167" i="8"/>
  <c r="G169" i="8"/>
  <c r="G171" i="8"/>
  <c r="G183" i="8"/>
  <c r="G185" i="8"/>
  <c r="G187" i="8"/>
  <c r="G189" i="8"/>
  <c r="G191" i="8"/>
  <c r="G193" i="8"/>
  <c r="G195" i="8"/>
  <c r="G199" i="8"/>
  <c r="G201" i="8"/>
  <c r="G203" i="8"/>
  <c r="G24" i="8"/>
  <c r="G26" i="8"/>
  <c r="G28" i="8"/>
  <c r="G30" i="8"/>
  <c r="G32" i="8"/>
  <c r="G40" i="8"/>
  <c r="G42" i="8"/>
  <c r="G46" i="8"/>
  <c r="G52" i="8"/>
  <c r="G56" i="8"/>
  <c r="G58" i="8"/>
  <c r="G60" i="8"/>
  <c r="G62" i="8"/>
  <c r="G64" i="8"/>
  <c r="G66" i="8"/>
  <c r="G68" i="8"/>
  <c r="G70" i="8"/>
  <c r="G72" i="8"/>
  <c r="G74" i="8"/>
  <c r="G76" i="8"/>
  <c r="G84" i="8"/>
  <c r="G90" i="8"/>
  <c r="G92" i="8"/>
  <c r="G94" i="8"/>
  <c r="G100" i="8"/>
  <c r="G110" i="8"/>
  <c r="G112" i="8"/>
  <c r="G116" i="8"/>
  <c r="G118" i="8"/>
  <c r="G120" i="8"/>
  <c r="G122" i="8"/>
  <c r="G124" i="8"/>
  <c r="G126" i="8"/>
  <c r="G128" i="8"/>
  <c r="G130" i="8"/>
  <c r="G132" i="8"/>
  <c r="G134" i="8"/>
  <c r="G136" i="8"/>
  <c r="G138" i="8"/>
  <c r="G140" i="8"/>
  <c r="G142" i="8"/>
  <c r="G146" i="8"/>
  <c r="G148" i="8"/>
  <c r="G150" i="8"/>
  <c r="G152" i="8"/>
  <c r="G154" i="8"/>
  <c r="G156" i="8"/>
  <c r="G158" i="8"/>
  <c r="G160" i="8"/>
  <c r="G164" i="8"/>
  <c r="G166" i="8"/>
  <c r="G168" i="8"/>
  <c r="G170" i="8"/>
  <c r="G178" i="8"/>
  <c r="G186" i="8"/>
  <c r="G188" i="8"/>
  <c r="G190" i="8"/>
  <c r="G192" i="8"/>
  <c r="G194" i="8"/>
  <c r="G196" i="8"/>
  <c r="G200" i="8"/>
  <c r="G204" i="8"/>
  <c r="G208" i="8"/>
  <c r="G210" i="8"/>
  <c r="G212" i="8"/>
  <c r="G214" i="8"/>
  <c r="G216" i="8"/>
  <c r="G218" i="8"/>
  <c r="G220" i="8"/>
  <c r="G222" i="8"/>
  <c r="G207" i="8"/>
  <c r="G215" i="8"/>
  <c r="G223" i="8"/>
  <c r="G227" i="8"/>
  <c r="G231" i="8"/>
  <c r="G235" i="8"/>
  <c r="G239" i="8"/>
  <c r="G243" i="8"/>
  <c r="G247" i="8"/>
  <c r="G255" i="8"/>
  <c r="G271" i="8"/>
  <c r="G275" i="8"/>
  <c r="G279" i="8"/>
  <c r="G291" i="8"/>
  <c r="G295" i="8"/>
  <c r="G299" i="8"/>
  <c r="G303" i="8"/>
  <c r="G307" i="8"/>
  <c r="G311" i="8"/>
  <c r="G315" i="8"/>
  <c r="G319" i="8"/>
  <c r="G323" i="8"/>
  <c r="G327" i="8"/>
  <c r="G331" i="8"/>
  <c r="G335" i="8"/>
  <c r="G339" i="8"/>
  <c r="G343" i="8"/>
  <c r="G347" i="8"/>
  <c r="G350" i="8"/>
  <c r="G355" i="8"/>
  <c r="G358" i="8"/>
  <c r="G363" i="8"/>
  <c r="G366" i="8"/>
  <c r="G371" i="8"/>
  <c r="G374" i="8"/>
  <c r="G379" i="8"/>
  <c r="G382" i="8"/>
  <c r="G387" i="8"/>
  <c r="G390" i="8"/>
  <c r="G395" i="8"/>
  <c r="G398" i="8"/>
  <c r="G403" i="8"/>
  <c r="G406" i="8"/>
  <c r="G411" i="8"/>
  <c r="G414" i="8"/>
  <c r="G419" i="8"/>
  <c r="G422" i="8"/>
  <c r="G427" i="8"/>
  <c r="G430" i="8"/>
  <c r="G209" i="8"/>
  <c r="G217" i="8"/>
  <c r="G224" i="8"/>
  <c r="G228" i="8"/>
  <c r="G240" i="8"/>
  <c r="G244" i="8"/>
  <c r="G248" i="8"/>
  <c r="G252" i="8"/>
  <c r="G264" i="8"/>
  <c r="G272" i="8"/>
  <c r="G280" i="8"/>
  <c r="G284" i="8"/>
  <c r="G288" i="8"/>
  <c r="G292" i="8"/>
  <c r="G296" i="8"/>
  <c r="G300" i="8"/>
  <c r="G304" i="8"/>
  <c r="G308" i="8"/>
  <c r="G312" i="8"/>
  <c r="G316" i="8"/>
  <c r="G320" i="8"/>
  <c r="G324" i="8"/>
  <c r="G328" i="8"/>
  <c r="G332" i="8"/>
  <c r="G336" i="8"/>
  <c r="G340" i="8"/>
  <c r="G344" i="8"/>
  <c r="G348" i="8"/>
  <c r="G353" i="8"/>
  <c r="G356" i="8"/>
  <c r="G361" i="8"/>
  <c r="G369" i="8"/>
  <c r="G372" i="8"/>
  <c r="G377" i="8"/>
  <c r="G385" i="8"/>
  <c r="G388" i="8"/>
  <c r="G393" i="8"/>
  <c r="G396" i="8"/>
  <c r="G401" i="8"/>
  <c r="G404" i="8"/>
  <c r="G409" i="8"/>
  <c r="G412" i="8"/>
  <c r="G417" i="8"/>
  <c r="G420" i="8"/>
  <c r="G425" i="8"/>
  <c r="G428" i="8"/>
  <c r="G433" i="8"/>
  <c r="G435" i="8"/>
  <c r="G437" i="8"/>
  <c r="G439" i="8"/>
  <c r="G441" i="8"/>
  <c r="G443" i="8"/>
  <c r="G445" i="8"/>
  <c r="G447" i="8"/>
  <c r="G449" i="8"/>
  <c r="G451" i="8"/>
  <c r="G453" i="8"/>
  <c r="G455" i="8"/>
  <c r="G457" i="8"/>
  <c r="G459" i="8"/>
  <c r="G461" i="8"/>
  <c r="G463" i="8"/>
  <c r="G465" i="8"/>
  <c r="G467" i="8"/>
  <c r="G469" i="8"/>
  <c r="G471" i="8"/>
  <c r="G473" i="8"/>
  <c r="G475" i="8"/>
  <c r="G477" i="8"/>
  <c r="G479" i="8"/>
  <c r="G481" i="8"/>
  <c r="G483" i="8"/>
  <c r="G485" i="8"/>
  <c r="G487" i="8"/>
  <c r="G489" i="8"/>
  <c r="G491" i="8"/>
  <c r="G493" i="8"/>
  <c r="G495" i="8"/>
  <c r="G497" i="8"/>
  <c r="G499" i="8"/>
  <c r="G501" i="8"/>
  <c r="G503" i="8"/>
  <c r="G505" i="8"/>
  <c r="G507" i="8"/>
  <c r="G509" i="8"/>
  <c r="G511" i="8"/>
  <c r="G513" i="8"/>
  <c r="G515" i="8"/>
  <c r="G517" i="8"/>
  <c r="G519" i="8"/>
  <c r="G521" i="8"/>
  <c r="G523" i="8"/>
  <c r="G525" i="8"/>
  <c r="G527" i="8"/>
  <c r="G529" i="8"/>
  <c r="G531" i="8"/>
  <c r="G533" i="8"/>
  <c r="G535" i="8"/>
  <c r="G537" i="8"/>
  <c r="G539" i="8"/>
  <c r="G541" i="8"/>
  <c r="G543" i="8"/>
  <c r="G545" i="8"/>
  <c r="G547" i="8"/>
  <c r="G549" i="8"/>
  <c r="G551" i="8"/>
  <c r="G553" i="8"/>
  <c r="G555" i="8"/>
  <c r="G557" i="8"/>
  <c r="G559" i="8"/>
  <c r="G561" i="8"/>
  <c r="G563" i="8"/>
  <c r="G565" i="8"/>
  <c r="G567" i="8"/>
  <c r="G569" i="8"/>
  <c r="G211" i="8"/>
  <c r="G225" i="8"/>
  <c r="G245" i="8"/>
  <c r="G261" i="8"/>
  <c r="G273" i="8"/>
  <c r="G281" i="8"/>
  <c r="G293" i="8"/>
  <c r="G297" i="8"/>
  <c r="G301" i="8"/>
  <c r="G305" i="8"/>
  <c r="G309" i="8"/>
  <c r="G313" i="8"/>
  <c r="G317" i="8"/>
  <c r="G321" i="8"/>
  <c r="G325" i="8"/>
  <c r="G329" i="8"/>
  <c r="G333" i="8"/>
  <c r="G337" i="8"/>
  <c r="G341" i="8"/>
  <c r="G345" i="8"/>
  <c r="G351" i="8"/>
  <c r="G354" i="8"/>
  <c r="G359" i="8"/>
  <c r="G362" i="8"/>
  <c r="G367" i="8"/>
  <c r="G370" i="8"/>
  <c r="G386" i="8"/>
  <c r="G391" i="8"/>
  <c r="G394" i="8"/>
  <c r="G399" i="8"/>
  <c r="G402" i="8"/>
  <c r="G407" i="8"/>
  <c r="G410" i="8"/>
  <c r="G415" i="8"/>
  <c r="G418" i="8"/>
  <c r="G423" i="8"/>
  <c r="G426" i="8"/>
  <c r="G431" i="8"/>
  <c r="G221" i="8"/>
  <c r="G226" i="8"/>
  <c r="G230" i="8"/>
  <c r="G238" i="8"/>
  <c r="G246" i="8"/>
  <c r="G250" i="8"/>
  <c r="G254" i="8"/>
  <c r="G258" i="8"/>
  <c r="G262" i="8"/>
  <c r="G270" i="8"/>
  <c r="G282" i="8"/>
  <c r="G294" i="8"/>
  <c r="G298" i="8"/>
  <c r="G302" i="8"/>
  <c r="G306" i="8"/>
  <c r="G310" i="8"/>
  <c r="G314" i="8"/>
  <c r="G318" i="8"/>
  <c r="G322" i="8"/>
  <c r="G326" i="8"/>
  <c r="G330" i="8"/>
  <c r="G334" i="8"/>
  <c r="G338" i="8"/>
  <c r="G342" i="8"/>
  <c r="G346" i="8"/>
  <c r="G349" i="8"/>
  <c r="G352" i="8"/>
  <c r="G360" i="8"/>
  <c r="G365" i="8"/>
  <c r="G368" i="8"/>
  <c r="G376" i="8"/>
  <c r="G389" i="8"/>
  <c r="G392" i="8"/>
  <c r="G397" i="8"/>
  <c r="G400" i="8"/>
  <c r="G405" i="8"/>
  <c r="G408" i="8"/>
  <c r="G416" i="8"/>
  <c r="G421" i="8"/>
  <c r="G424" i="8"/>
  <c r="G429" i="8"/>
  <c r="G432" i="8"/>
  <c r="G434" i="8"/>
  <c r="G436" i="8"/>
  <c r="G438" i="8"/>
  <c r="G440" i="8"/>
  <c r="G442" i="8"/>
  <c r="G444" i="8"/>
  <c r="G446" i="8"/>
  <c r="G448" i="8"/>
  <c r="G450" i="8"/>
  <c r="G452" i="8"/>
  <c r="G454" i="8"/>
  <c r="G456" i="8"/>
  <c r="G458" i="8"/>
  <c r="G460" i="8"/>
  <c r="G462" i="8"/>
  <c r="G464" i="8"/>
  <c r="G466" i="8"/>
  <c r="G468" i="8"/>
  <c r="G470" i="8"/>
  <c r="G472" i="8"/>
  <c r="G474" i="8"/>
  <c r="G476" i="8"/>
  <c r="G478" i="8"/>
  <c r="G480" i="8"/>
  <c r="G482" i="8"/>
  <c r="G484" i="8"/>
  <c r="G486" i="8"/>
  <c r="G488" i="8"/>
  <c r="G490" i="8"/>
  <c r="G492" i="8"/>
  <c r="G494" i="8"/>
  <c r="G496" i="8"/>
  <c r="G498" i="8"/>
  <c r="G500" i="8"/>
  <c r="G502" i="8"/>
  <c r="G504" i="8"/>
  <c r="G506" i="8"/>
  <c r="G508" i="8"/>
  <c r="G510" i="8"/>
  <c r="G512" i="8"/>
  <c r="G514" i="8"/>
  <c r="G516" i="8"/>
  <c r="G518" i="8"/>
  <c r="G520" i="8"/>
  <c r="G522" i="8"/>
  <c r="G524" i="8"/>
  <c r="G526" i="8"/>
  <c r="G528" i="8"/>
  <c r="G530" i="8"/>
  <c r="G532" i="8"/>
  <c r="G534" i="8"/>
  <c r="G536" i="8"/>
  <c r="G538" i="8"/>
  <c r="G540" i="8"/>
  <c r="G542" i="8"/>
  <c r="G544" i="8"/>
  <c r="G546" i="8"/>
  <c r="G548" i="8"/>
  <c r="G550" i="8"/>
  <c r="G552" i="8"/>
  <c r="G554" i="8"/>
  <c r="G556" i="8"/>
  <c r="G558" i="8"/>
  <c r="G560" i="8"/>
  <c r="G562" i="8"/>
  <c r="G570" i="8"/>
  <c r="G574" i="8"/>
  <c r="G578" i="8"/>
  <c r="G582" i="8"/>
  <c r="G586" i="8"/>
  <c r="G590" i="8"/>
  <c r="G594" i="8"/>
  <c r="G598" i="8"/>
  <c r="G602" i="8"/>
  <c r="G606" i="8"/>
  <c r="G610" i="8"/>
  <c r="G614" i="8"/>
  <c r="G618" i="8"/>
  <c r="G622" i="8"/>
  <c r="G626" i="8"/>
  <c r="G630" i="8"/>
  <c r="G634" i="8"/>
  <c r="G638" i="8"/>
  <c r="G642" i="8"/>
  <c r="G645" i="8"/>
  <c r="G650" i="8"/>
  <c r="G653" i="8"/>
  <c r="G564" i="8"/>
  <c r="G571" i="8"/>
  <c r="G575" i="8"/>
  <c r="G579" i="8"/>
  <c r="G583" i="8"/>
  <c r="G587" i="8"/>
  <c r="G591" i="8"/>
  <c r="G595" i="8"/>
  <c r="G599" i="8"/>
  <c r="G603" i="8"/>
  <c r="G607" i="8"/>
  <c r="G611" i="8"/>
  <c r="G615" i="8"/>
  <c r="G619" i="8"/>
  <c r="G623" i="8"/>
  <c r="G627" i="8"/>
  <c r="G631" i="8"/>
  <c r="G635" i="8"/>
  <c r="G639" i="8"/>
  <c r="G643" i="8"/>
  <c r="G648" i="8"/>
  <c r="G651" i="8"/>
  <c r="G656" i="8"/>
  <c r="G658" i="8"/>
  <c r="G660" i="8"/>
  <c r="G662" i="8"/>
  <c r="G664" i="8"/>
  <c r="G666" i="8"/>
  <c r="G668" i="8"/>
  <c r="G670" i="8"/>
  <c r="G672" i="8"/>
  <c r="G674" i="8"/>
  <c r="G676" i="8"/>
  <c r="G678" i="8"/>
  <c r="G680" i="8"/>
  <c r="G682" i="8"/>
  <c r="G684" i="8"/>
  <c r="G686" i="8"/>
  <c r="G688" i="8"/>
  <c r="G690" i="8"/>
  <c r="G692" i="8"/>
  <c r="G694" i="8"/>
  <c r="G696" i="8"/>
  <c r="G698" i="8"/>
  <c r="G700" i="8"/>
  <c r="G702" i="8"/>
  <c r="G704" i="8"/>
  <c r="G706" i="8"/>
  <c r="G708" i="8"/>
  <c r="G710" i="8"/>
  <c r="G712" i="8"/>
  <c r="G714" i="8"/>
  <c r="G716" i="8"/>
  <c r="G718" i="8"/>
  <c r="G720" i="8"/>
  <c r="G722" i="8"/>
  <c r="G724" i="8"/>
  <c r="G726" i="8"/>
  <c r="G728" i="8"/>
  <c r="G730" i="8"/>
  <c r="G732" i="8"/>
  <c r="G734" i="8"/>
  <c r="G736" i="8"/>
  <c r="G738" i="8"/>
  <c r="G740" i="8"/>
  <c r="G742" i="8"/>
  <c r="G744" i="8"/>
  <c r="G746" i="8"/>
  <c r="G748" i="8"/>
  <c r="G750" i="8"/>
  <c r="G752" i="8"/>
  <c r="G754" i="8"/>
  <c r="G756" i="8"/>
  <c r="G758" i="8"/>
  <c r="G760" i="8"/>
  <c r="G762" i="8"/>
  <c r="G764" i="8"/>
  <c r="G766" i="8"/>
  <c r="G768" i="8"/>
  <c r="G770" i="8"/>
  <c r="G772" i="8"/>
  <c r="G774" i="8"/>
  <c r="G776" i="8"/>
  <c r="G778" i="8"/>
  <c r="G780" i="8"/>
  <c r="G782" i="8"/>
  <c r="G784" i="8"/>
  <c r="G786" i="8"/>
  <c r="G788" i="8"/>
  <c r="G790" i="8"/>
  <c r="G792" i="8"/>
  <c r="G794" i="8"/>
  <c r="G796" i="8"/>
  <c r="G798" i="8"/>
  <c r="G800" i="8"/>
  <c r="G802" i="8"/>
  <c r="G804" i="8"/>
  <c r="G806" i="8"/>
  <c r="G808" i="8"/>
  <c r="G810" i="8"/>
  <c r="G812" i="8"/>
  <c r="G814" i="8"/>
  <c r="G816" i="8"/>
  <c r="G818" i="8"/>
  <c r="G820" i="8"/>
  <c r="G822" i="8"/>
  <c r="G824" i="8"/>
  <c r="G826" i="8"/>
  <c r="G828" i="8"/>
  <c r="G830" i="8"/>
  <c r="G832" i="8"/>
  <c r="G834" i="8"/>
  <c r="G836" i="8"/>
  <c r="G838" i="8"/>
  <c r="G840" i="8"/>
  <c r="G842" i="8"/>
  <c r="G844" i="8"/>
  <c r="G846" i="8"/>
  <c r="G848" i="8"/>
  <c r="G852" i="8"/>
  <c r="G854" i="8"/>
  <c r="G856" i="8"/>
  <c r="G858" i="8"/>
  <c r="G860" i="8"/>
  <c r="G862" i="8"/>
  <c r="G864" i="8"/>
  <c r="G866" i="8"/>
  <c r="G868" i="8"/>
  <c r="G870" i="8"/>
  <c r="G872" i="8"/>
  <c r="G874" i="8"/>
  <c r="G876" i="8"/>
  <c r="G878" i="8"/>
  <c r="G880" i="8"/>
  <c r="G882" i="8"/>
  <c r="G884" i="8"/>
  <c r="G886" i="8"/>
  <c r="G888" i="8"/>
  <c r="G890" i="8"/>
  <c r="G892" i="8"/>
  <c r="G894" i="8"/>
  <c r="G896" i="8"/>
  <c r="G898" i="8"/>
  <c r="G900" i="8"/>
  <c r="G902" i="8"/>
  <c r="G904" i="8"/>
  <c r="G906" i="8"/>
  <c r="G908" i="8"/>
  <c r="G910" i="8"/>
  <c r="G912" i="8"/>
  <c r="G914" i="8"/>
  <c r="G916" i="8"/>
  <c r="G918" i="8"/>
  <c r="G920" i="8"/>
  <c r="G922" i="8"/>
  <c r="G924" i="8"/>
  <c r="G926" i="8"/>
  <c r="G928" i="8"/>
  <c r="G930" i="8"/>
  <c r="G932" i="8"/>
  <c r="G934" i="8"/>
  <c r="G936" i="8"/>
  <c r="G938" i="8"/>
  <c r="G940" i="8"/>
  <c r="G942" i="8"/>
  <c r="G944" i="8"/>
  <c r="G946" i="8"/>
  <c r="G948" i="8"/>
  <c r="G950" i="8"/>
  <c r="G952" i="8"/>
  <c r="G954" i="8"/>
  <c r="G956" i="8"/>
  <c r="G958" i="8"/>
  <c r="G960" i="8"/>
  <c r="G962" i="8"/>
  <c r="G964" i="8"/>
  <c r="G966" i="8"/>
  <c r="G968" i="8"/>
  <c r="G970" i="8"/>
  <c r="G972" i="8"/>
  <c r="G974" i="8"/>
  <c r="G976" i="8"/>
  <c r="G978" i="8"/>
  <c r="G980" i="8"/>
  <c r="G982" i="8"/>
  <c r="G984" i="8"/>
  <c r="G986" i="8"/>
  <c r="G988" i="8"/>
  <c r="G990" i="8"/>
  <c r="G994" i="8"/>
  <c r="G996" i="8"/>
  <c r="G998" i="8"/>
  <c r="G1000" i="8"/>
  <c r="G1002" i="8"/>
  <c r="G1004" i="8"/>
  <c r="G1006" i="8"/>
  <c r="G1008" i="8"/>
  <c r="G1010" i="8"/>
  <c r="G566" i="8"/>
  <c r="G572" i="8"/>
  <c r="G576" i="8"/>
  <c r="G580" i="8"/>
  <c r="G584" i="8"/>
  <c r="G588" i="8"/>
  <c r="G592" i="8"/>
  <c r="G596" i="8"/>
  <c r="G600" i="8"/>
  <c r="G604" i="8"/>
  <c r="G608" i="8"/>
  <c r="G612" i="8"/>
  <c r="G616" i="8"/>
  <c r="G620" i="8"/>
  <c r="G624" i="8"/>
  <c r="G628" i="8"/>
  <c r="G632" i="8"/>
  <c r="G636" i="8"/>
  <c r="G640" i="8"/>
  <c r="G646" i="8"/>
  <c r="G649" i="8"/>
  <c r="G654" i="8"/>
  <c r="G568" i="8"/>
  <c r="G573" i="8"/>
  <c r="G577" i="8"/>
  <c r="G581" i="8"/>
  <c r="G585" i="8"/>
  <c r="G589" i="8"/>
  <c r="G593" i="8"/>
  <c r="G597" i="8"/>
  <c r="G601" i="8"/>
  <c r="G605" i="8"/>
  <c r="G609" i="8"/>
  <c r="G613" i="8"/>
  <c r="G617" i="8"/>
  <c r="G621" i="8"/>
  <c r="G625" i="8"/>
  <c r="G629" i="8"/>
  <c r="G633" i="8"/>
  <c r="G637" i="8"/>
  <c r="G641" i="8"/>
  <c r="G644" i="8"/>
  <c r="G647" i="8"/>
  <c r="G652" i="8"/>
  <c r="G655" i="8"/>
  <c r="G657" i="8"/>
  <c r="G659" i="8"/>
  <c r="G661" i="8"/>
  <c r="G663" i="8"/>
  <c r="G665" i="8"/>
  <c r="G667" i="8"/>
  <c r="G669" i="8"/>
  <c r="G671" i="8"/>
  <c r="G673" i="8"/>
  <c r="G675" i="8"/>
  <c r="G677" i="8"/>
  <c r="G679" i="8"/>
  <c r="G681" i="8"/>
  <c r="G683" i="8"/>
  <c r="G685" i="8"/>
  <c r="G687" i="8"/>
  <c r="G689" i="8"/>
  <c r="G691" i="8"/>
  <c r="G693" i="8"/>
  <c r="G695" i="8"/>
  <c r="G697" i="8"/>
  <c r="G699" i="8"/>
  <c r="G701" i="8"/>
  <c r="G703" i="8"/>
  <c r="G705" i="8"/>
  <c r="G707" i="8"/>
  <c r="G709" i="8"/>
  <c r="G711" i="8"/>
  <c r="G713" i="8"/>
  <c r="G715" i="8"/>
  <c r="G717" i="8"/>
  <c r="G719" i="8"/>
  <c r="G721" i="8"/>
  <c r="G723" i="8"/>
  <c r="G725" i="8"/>
  <c r="G727" i="8"/>
  <c r="G729" i="8"/>
  <c r="G731" i="8"/>
  <c r="G733" i="8"/>
  <c r="G735" i="8"/>
  <c r="G737" i="8"/>
  <c r="G739" i="8"/>
  <c r="G741" i="8"/>
  <c r="G743" i="8"/>
  <c r="G745" i="8"/>
  <c r="G747" i="8"/>
  <c r="G749" i="8"/>
  <c r="G751" i="8"/>
  <c r="G753" i="8"/>
  <c r="G755" i="8"/>
  <c r="G757" i="8"/>
  <c r="G759" i="8"/>
  <c r="G761" i="8"/>
  <c r="G763" i="8"/>
  <c r="G765" i="8"/>
  <c r="G767" i="8"/>
  <c r="G769" i="8"/>
  <c r="G771" i="8"/>
  <c r="G773" i="8"/>
  <c r="G775" i="8"/>
  <c r="G777" i="8"/>
  <c r="G779" i="8"/>
  <c r="G781" i="8"/>
  <c r="G783" i="8"/>
  <c r="G785" i="8"/>
  <c r="G787" i="8"/>
  <c r="G789" i="8"/>
  <c r="G791" i="8"/>
  <c r="G793" i="8"/>
  <c r="G795" i="8"/>
  <c r="G797" i="8"/>
  <c r="G799" i="8"/>
  <c r="G801" i="8"/>
  <c r="G803" i="8"/>
  <c r="G805" i="8"/>
  <c r="G807" i="8"/>
  <c r="G809" i="8"/>
  <c r="G811" i="8"/>
  <c r="G813" i="8"/>
  <c r="G815" i="8"/>
  <c r="G817" i="8"/>
  <c r="G819" i="8"/>
  <c r="G821" i="8"/>
  <c r="G823" i="8"/>
  <c r="G825" i="8"/>
  <c r="G827" i="8"/>
  <c r="G829" i="8"/>
  <c r="G831" i="8"/>
  <c r="G833" i="8"/>
  <c r="G835" i="8"/>
  <c r="G837" i="8"/>
  <c r="G839" i="8"/>
  <c r="G841" i="8"/>
  <c r="G843" i="8"/>
  <c r="G845" i="8"/>
  <c r="G847" i="8"/>
  <c r="G849" i="8"/>
  <c r="G851" i="8"/>
  <c r="G853" i="8"/>
  <c r="G855" i="8"/>
  <c r="G857" i="8"/>
  <c r="G859" i="8"/>
  <c r="G861" i="8"/>
  <c r="G863" i="8"/>
  <c r="G865" i="8"/>
  <c r="G867" i="8"/>
  <c r="G869" i="8"/>
  <c r="G871" i="8"/>
  <c r="G873" i="8"/>
  <c r="G875" i="8"/>
  <c r="G877" i="8"/>
  <c r="G879" i="8"/>
  <c r="G881" i="8"/>
  <c r="G883" i="8"/>
  <c r="G885" i="8"/>
  <c r="G887" i="8"/>
  <c r="G889" i="8"/>
  <c r="G891" i="8"/>
  <c r="G893" i="8"/>
  <c r="G895" i="8"/>
  <c r="G897" i="8"/>
  <c r="G899" i="8"/>
  <c r="G901" i="8"/>
  <c r="G903" i="8"/>
  <c r="G905" i="8"/>
  <c r="G907" i="8"/>
  <c r="G909" i="8"/>
  <c r="G911" i="8"/>
  <c r="G913" i="8"/>
  <c r="G915" i="8"/>
  <c r="G917" i="8"/>
  <c r="G919" i="8"/>
  <c r="G921" i="8"/>
  <c r="G923" i="8"/>
  <c r="G925" i="8"/>
  <c r="G927" i="8"/>
  <c r="G929" i="8"/>
  <c r="G931" i="8"/>
  <c r="G933" i="8"/>
  <c r="G935" i="8"/>
  <c r="G937" i="8"/>
  <c r="G939" i="8"/>
  <c r="G941" i="8"/>
  <c r="G943" i="8"/>
  <c r="G945" i="8"/>
  <c r="G947" i="8"/>
  <c r="G949" i="8"/>
  <c r="G953" i="8"/>
  <c r="G955" i="8"/>
  <c r="G957" i="8"/>
  <c r="G959" i="8"/>
  <c r="G961" i="8"/>
  <c r="G963" i="8"/>
  <c r="G965" i="8"/>
  <c r="G967" i="8"/>
  <c r="G969" i="8"/>
  <c r="G971" i="8"/>
  <c r="G973" i="8"/>
  <c r="G975" i="8"/>
  <c r="G977" i="8"/>
  <c r="G979" i="8"/>
  <c r="G981" i="8"/>
  <c r="G983" i="8"/>
  <c r="G985" i="8"/>
  <c r="G987" i="8"/>
  <c r="G989" i="8"/>
  <c r="G991" i="8"/>
  <c r="G993" i="8"/>
  <c r="G995" i="8"/>
  <c r="G997" i="8"/>
  <c r="G999" i="8"/>
  <c r="G1007" i="8"/>
  <c r="G1013" i="8"/>
  <c r="G1017" i="8"/>
  <c r="G1021" i="8"/>
  <c r="G1025" i="8"/>
  <c r="G1029" i="8"/>
  <c r="G1033" i="8"/>
  <c r="G1037" i="8"/>
  <c r="G1041" i="8"/>
  <c r="G1045" i="8"/>
  <c r="G1049" i="8"/>
  <c r="G1053" i="8"/>
  <c r="G1057" i="8"/>
  <c r="G1061" i="8"/>
  <c r="G1081" i="8"/>
  <c r="G1089" i="8"/>
  <c r="G1093" i="8"/>
  <c r="G1097" i="8"/>
  <c r="G1101" i="8"/>
  <c r="G1105" i="8"/>
  <c r="G1109" i="8"/>
  <c r="G1113" i="8"/>
  <c r="G1117" i="8"/>
  <c r="G1121" i="8"/>
  <c r="G1125" i="8"/>
  <c r="G1129" i="8"/>
  <c r="G1133" i="8"/>
  <c r="G1137" i="8"/>
  <c r="G1141" i="8"/>
  <c r="G1145" i="8"/>
  <c r="G1149" i="8"/>
  <c r="G1153" i="8"/>
  <c r="G1157" i="8"/>
  <c r="G1161" i="8"/>
  <c r="G1165" i="8"/>
  <c r="G1169" i="8"/>
  <c r="G1173" i="8"/>
  <c r="G1177" i="8"/>
  <c r="G1181" i="8"/>
  <c r="G1185" i="8"/>
  <c r="G1189" i="8"/>
  <c r="G1193" i="8"/>
  <c r="G1197" i="8"/>
  <c r="G1201" i="8"/>
  <c r="G1205" i="8"/>
  <c r="G1209" i="8"/>
  <c r="G1213" i="8"/>
  <c r="G1217" i="8"/>
  <c r="G1221" i="8"/>
  <c r="G1225" i="8"/>
  <c r="G1229" i="8"/>
  <c r="G1233" i="8"/>
  <c r="G1237" i="8"/>
  <c r="G1001" i="8"/>
  <c r="G1009" i="8"/>
  <c r="G1014" i="8"/>
  <c r="G1018" i="8"/>
  <c r="G1022" i="8"/>
  <c r="G1026" i="8"/>
  <c r="G1030" i="8"/>
  <c r="G1034" i="8"/>
  <c r="G1038" i="8"/>
  <c r="G1042" i="8"/>
  <c r="G1046" i="8"/>
  <c r="G1050" i="8"/>
  <c r="G1054" i="8"/>
  <c r="G1058" i="8"/>
  <c r="G1062" i="8"/>
  <c r="G1086" i="8"/>
  <c r="G1090" i="8"/>
  <c r="G1094" i="8"/>
  <c r="G1098" i="8"/>
  <c r="G1102" i="8"/>
  <c r="G1106" i="8"/>
  <c r="G1110" i="8"/>
  <c r="G1114" i="8"/>
  <c r="G1118" i="8"/>
  <c r="G1122" i="8"/>
  <c r="G1126" i="8"/>
  <c r="G1130" i="8"/>
  <c r="G1134" i="8"/>
  <c r="G1138" i="8"/>
  <c r="G1142" i="8"/>
  <c r="G1146" i="8"/>
  <c r="G1150" i="8"/>
  <c r="G1154" i="8"/>
  <c r="G1158" i="8"/>
  <c r="G1162" i="8"/>
  <c r="G1166" i="8"/>
  <c r="G1170" i="8"/>
  <c r="G1174" i="8"/>
  <c r="G1178" i="8"/>
  <c r="G1182" i="8"/>
  <c r="G1186" i="8"/>
  <c r="G1190" i="8"/>
  <c r="G1194" i="8"/>
  <c r="G1198" i="8"/>
  <c r="G1202" i="8"/>
  <c r="G1206" i="8"/>
  <c r="G1210" i="8"/>
  <c r="G1214" i="8"/>
  <c r="G1218" i="8"/>
  <c r="G1222" i="8"/>
  <c r="G1226" i="8"/>
  <c r="G1230" i="8"/>
  <c r="G1234" i="8"/>
  <c r="G1238" i="8"/>
  <c r="G1003" i="8"/>
  <c r="G1011" i="8"/>
  <c r="G1019" i="8"/>
  <c r="G1023" i="8"/>
  <c r="G1027" i="8"/>
  <c r="G1031" i="8"/>
  <c r="G1035" i="8"/>
  <c r="G1039" i="8"/>
  <c r="G1043" i="8"/>
  <c r="G1047" i="8"/>
  <c r="G1051" i="8"/>
  <c r="G1055" i="8"/>
  <c r="G1059" i="8"/>
  <c r="G1083" i="8"/>
  <c r="G1087" i="8"/>
  <c r="G1095" i="8"/>
  <c r="G1099" i="8"/>
  <c r="G1103" i="8"/>
  <c r="G1107" i="8"/>
  <c r="G1111" i="8"/>
  <c r="G1115" i="8"/>
  <c r="G1119" i="8"/>
  <c r="G1123" i="8"/>
  <c r="G1127" i="8"/>
  <c r="G1131" i="8"/>
  <c r="G1135" i="8"/>
  <c r="G1139" i="8"/>
  <c r="G1143" i="8"/>
  <c r="G1147" i="8"/>
  <c r="G1151" i="8"/>
  <c r="G1155" i="8"/>
  <c r="G1159" i="8"/>
  <c r="G1163" i="8"/>
  <c r="G1167" i="8"/>
  <c r="G1171" i="8"/>
  <c r="G1175" i="8"/>
  <c r="G1179" i="8"/>
  <c r="G1183" i="8"/>
  <c r="G1187" i="8"/>
  <c r="G1191" i="8"/>
  <c r="G1195" i="8"/>
  <c r="G1199" i="8"/>
  <c r="G1203" i="8"/>
  <c r="G1207" i="8"/>
  <c r="G1211" i="8"/>
  <c r="G1215" i="8"/>
  <c r="G1219" i="8"/>
  <c r="G1223" i="8"/>
  <c r="G1227" i="8"/>
  <c r="G1231" i="8"/>
  <c r="G1235" i="8"/>
  <c r="G1239" i="8"/>
  <c r="G1005" i="8"/>
  <c r="G1012" i="8"/>
  <c r="G1016" i="8"/>
  <c r="G1020" i="8"/>
  <c r="G1024" i="8"/>
  <c r="G1028" i="8"/>
  <c r="G1032" i="8"/>
  <c r="G1036" i="8"/>
  <c r="G1040" i="8"/>
  <c r="G1044" i="8"/>
  <c r="G1048" i="8"/>
  <c r="G1052" i="8"/>
  <c r="G1056" i="8"/>
  <c r="G1060" i="8"/>
  <c r="G1080" i="8"/>
  <c r="G1088" i="8"/>
  <c r="G1092" i="8"/>
  <c r="G1096" i="8"/>
  <c r="G1100" i="8"/>
  <c r="G1104" i="8"/>
  <c r="G1108" i="8"/>
  <c r="G1112" i="8"/>
  <c r="G1116" i="8"/>
  <c r="G1120" i="8"/>
  <c r="G1124" i="8"/>
  <c r="G1128" i="8"/>
  <c r="G1132" i="8"/>
  <c r="G1136" i="8"/>
  <c r="G1140" i="8"/>
  <c r="G1144" i="8"/>
  <c r="G1148" i="8"/>
  <c r="G1152" i="8"/>
  <c r="G1156" i="8"/>
  <c r="G1160" i="8"/>
  <c r="G1164" i="8"/>
  <c r="G1168" i="8"/>
  <c r="G1172" i="8"/>
  <c r="G1176" i="8"/>
  <c r="G1180" i="8"/>
  <c r="G1184" i="8"/>
  <c r="G1188" i="8"/>
  <c r="G1192" i="8"/>
  <c r="G1196" i="8"/>
  <c r="G1200" i="8"/>
  <c r="G1204" i="8"/>
  <c r="G1208" i="8"/>
  <c r="G1212" i="8"/>
  <c r="G1216" i="8"/>
  <c r="G1220" i="8"/>
  <c r="G1224" i="8"/>
  <c r="G1228" i="8"/>
  <c r="G1232" i="8"/>
  <c r="G1236" i="8"/>
  <c r="I205" i="6"/>
  <c r="I3778" i="5"/>
  <c r="I4149" i="5"/>
  <c r="I3772" i="5" l="1"/>
  <c r="I4194" i="5"/>
  <c r="I3204" i="5"/>
  <c r="I2593" i="5"/>
  <c r="I2773" i="5"/>
  <c r="I3281" i="5"/>
  <c r="I1210" i="5"/>
  <c r="I444" i="5"/>
  <c r="I4095" i="5"/>
  <c r="I3447" i="5"/>
  <c r="I2224" i="5"/>
  <c r="I1912" i="5"/>
  <c r="I1025" i="5"/>
  <c r="I3941" i="5"/>
  <c r="I4410" i="5"/>
  <c r="I3382" i="5"/>
  <c r="I4148" i="5"/>
  <c r="I4415" i="5"/>
  <c r="I4414" i="5"/>
  <c r="I1306" i="5"/>
  <c r="I3156" i="5"/>
  <c r="I1307" i="5"/>
  <c r="I150" i="5"/>
  <c r="I1734" i="5"/>
  <c r="I2566" i="5"/>
  <c r="I2561" i="5"/>
  <c r="I2567" i="5"/>
  <c r="I2562" i="5"/>
  <c r="I438" i="5"/>
  <c r="I928" i="5"/>
  <c r="I399" i="5"/>
  <c r="I2273" i="5"/>
  <c r="I2848" i="5"/>
  <c r="I1147" i="5"/>
  <c r="I3132" i="5"/>
  <c r="I1190" i="5"/>
  <c r="I625" i="5"/>
  <c r="I4240" i="5"/>
  <c r="I3879" i="5"/>
  <c r="F755" i="8"/>
  <c r="H755" i="8"/>
  <c r="I755" i="8"/>
  <c r="F703" i="8"/>
  <c r="H703" i="8"/>
  <c r="I703" i="8"/>
  <c r="F727" i="8"/>
  <c r="H727" i="8"/>
  <c r="I727" i="8"/>
  <c r="F747" i="8"/>
  <c r="H747" i="8"/>
  <c r="I747" i="8"/>
  <c r="F723" i="8"/>
  <c r="H723" i="8"/>
  <c r="I723" i="8"/>
  <c r="F699" i="8"/>
  <c r="H699" i="8"/>
  <c r="I699" i="8"/>
  <c r="F751" i="8"/>
  <c r="H751" i="8"/>
  <c r="I751" i="8"/>
  <c r="F695" i="8"/>
  <c r="H695" i="8"/>
  <c r="I695" i="8"/>
  <c r="I1167" i="8"/>
  <c r="F1167" i="8"/>
  <c r="H1167" i="8"/>
  <c r="I1236" i="8"/>
  <c r="F1236" i="8"/>
  <c r="H1236" i="8"/>
  <c r="I1197" i="8"/>
  <c r="F1197" i="8"/>
  <c r="H1197" i="8"/>
  <c r="F779" i="8"/>
  <c r="H779" i="8"/>
  <c r="I779" i="8"/>
  <c r="I1189" i="8"/>
  <c r="F1189" i="8"/>
  <c r="H1189" i="8"/>
  <c r="F797" i="8"/>
  <c r="H797" i="8"/>
  <c r="I797" i="8"/>
  <c r="H1013" i="8"/>
  <c r="I1013" i="8"/>
  <c r="F1013" i="8"/>
  <c r="F789" i="8"/>
  <c r="H789" i="8"/>
  <c r="I789" i="8"/>
  <c r="F775" i="8"/>
  <c r="H775" i="8"/>
  <c r="I775" i="8"/>
  <c r="F845" i="8"/>
  <c r="H845" i="8"/>
  <c r="I845" i="8"/>
  <c r="F743" i="8"/>
  <c r="H743" i="8"/>
  <c r="I743" i="8"/>
  <c r="F691" i="8"/>
  <c r="H691" i="8"/>
  <c r="I691" i="8"/>
  <c r="F707" i="8"/>
  <c r="H707" i="8"/>
  <c r="I707" i="8"/>
  <c r="F731" i="8"/>
  <c r="H731" i="8"/>
  <c r="I731" i="8"/>
  <c r="F763" i="8"/>
  <c r="I763" i="8"/>
  <c r="H763" i="8"/>
  <c r="F739" i="8"/>
  <c r="H739" i="8"/>
  <c r="I739" i="8"/>
  <c r="F711" i="8"/>
  <c r="H711" i="8"/>
  <c r="I711" i="8"/>
  <c r="H1005" i="8"/>
  <c r="I1005" i="8"/>
  <c r="F1005" i="8"/>
  <c r="H1055" i="8"/>
  <c r="I1055" i="8"/>
  <c r="F1055" i="8"/>
  <c r="F1150" i="8"/>
  <c r="I1150" i="8"/>
  <c r="H1150" i="8"/>
  <c r="H1039" i="8"/>
  <c r="I1039" i="8"/>
  <c r="F1039" i="8"/>
  <c r="H1023" i="8"/>
  <c r="I1023" i="8"/>
  <c r="F1023" i="8"/>
  <c r="F771" i="8"/>
  <c r="H771" i="8"/>
  <c r="I771" i="8"/>
  <c r="F837" i="8"/>
  <c r="H837" i="8"/>
  <c r="I837" i="8"/>
  <c r="I1212" i="8"/>
  <c r="F1212" i="8"/>
  <c r="H1212" i="8"/>
  <c r="F829" i="8"/>
  <c r="H829" i="8"/>
  <c r="I829" i="8"/>
  <c r="I1220" i="8"/>
  <c r="F1220" i="8"/>
  <c r="H1220" i="8"/>
  <c r="I1228" i="8"/>
  <c r="F1228" i="8"/>
  <c r="H1228" i="8"/>
  <c r="I1252" i="5"/>
  <c r="I901" i="5"/>
  <c r="I1652" i="5"/>
  <c r="I3912" i="5"/>
  <c r="I4077" i="5"/>
  <c r="I1512" i="5"/>
  <c r="I2682" i="5"/>
  <c r="I2840" i="5"/>
  <c r="I2125" i="5"/>
  <c r="I3784" i="5"/>
  <c r="I4304" i="5"/>
  <c r="I3321" i="5"/>
  <c r="I878" i="5"/>
  <c r="I1380" i="5"/>
  <c r="I1864" i="5"/>
  <c r="I18" i="6"/>
  <c r="I2130" i="5"/>
  <c r="I3642" i="5"/>
  <c r="I347" i="5"/>
  <c r="I2481" i="5"/>
  <c r="I2698" i="5"/>
  <c r="I1504" i="5"/>
  <c r="I3375" i="5"/>
  <c r="I4338" i="5"/>
  <c r="I1816" i="5"/>
  <c r="I4165" i="5"/>
  <c r="I3699" i="5"/>
  <c r="I2625" i="5"/>
  <c r="I4422" i="5"/>
  <c r="I1841" i="5"/>
  <c r="I1398" i="5"/>
  <c r="I2610" i="5"/>
  <c r="I3346" i="5"/>
  <c r="I412" i="5"/>
  <c r="I1002" i="5"/>
  <c r="I1641" i="5"/>
  <c r="I2076" i="5"/>
  <c r="I2995" i="5"/>
  <c r="I280" i="5"/>
  <c r="I591" i="5"/>
  <c r="I1183" i="5"/>
  <c r="I1882" i="5"/>
  <c r="I2119" i="5"/>
  <c r="I89" i="5"/>
  <c r="I1087" i="5"/>
  <c r="I1573" i="5"/>
  <c r="I1993" i="5"/>
  <c r="I184" i="5"/>
  <c r="I719" i="5"/>
  <c r="I1292" i="5"/>
  <c r="I1865" i="5"/>
  <c r="I3043" i="5"/>
  <c r="I3680" i="5"/>
  <c r="I4084" i="5"/>
  <c r="I4171" i="5"/>
  <c r="I61" i="5"/>
  <c r="I146" i="5"/>
  <c r="I354" i="5"/>
  <c r="I611" i="5"/>
  <c r="I1088" i="5"/>
  <c r="I1544" i="5"/>
  <c r="I1678" i="5"/>
  <c r="I1894" i="5"/>
  <c r="I2213" i="5"/>
  <c r="I2327" i="5"/>
  <c r="I2731" i="5"/>
  <c r="I3138" i="5"/>
  <c r="I3367" i="5"/>
  <c r="I80" i="5"/>
  <c r="I522" i="5"/>
  <c r="I1056" i="5"/>
  <c r="I1162" i="5"/>
  <c r="I1367" i="5"/>
  <c r="I1529" i="5"/>
  <c r="I1805" i="5"/>
  <c r="I1961" i="5"/>
  <c r="I2107" i="5"/>
  <c r="I2356" i="5"/>
  <c r="I2583" i="5"/>
  <c r="I564" i="5"/>
  <c r="I1286" i="5"/>
  <c r="I1679" i="5"/>
  <c r="I1986" i="5"/>
  <c r="I2904" i="5"/>
  <c r="I534" i="5"/>
  <c r="I211" i="5"/>
  <c r="I584" i="5"/>
  <c r="I705" i="5"/>
  <c r="I804" i="5"/>
  <c r="I949" i="5"/>
  <c r="I1264" i="5"/>
  <c r="I1551" i="5"/>
  <c r="I1712" i="5"/>
  <c r="I1853" i="5"/>
  <c r="I1962" i="5"/>
  <c r="I2218" i="5"/>
  <c r="I2757" i="5"/>
  <c r="I2964" i="5"/>
  <c r="I3298" i="5"/>
  <c r="I3620" i="5"/>
  <c r="I3853" i="5"/>
  <c r="I4032" i="5"/>
  <c r="I4229" i="5"/>
  <c r="I3643" i="5"/>
  <c r="I3614" i="5"/>
  <c r="I3997" i="5"/>
  <c r="I4411" i="5"/>
  <c r="I3487" i="5"/>
  <c r="I3559" i="5"/>
  <c r="I4066" i="5"/>
  <c r="I136" i="5"/>
  <c r="I508" i="5"/>
  <c r="I927" i="5"/>
  <c r="I1096" i="5"/>
  <c r="I1287" i="5"/>
  <c r="I1758" i="5"/>
  <c r="I1847" i="5"/>
  <c r="I1955" i="5"/>
  <c r="I2310" i="5"/>
  <c r="I2578" i="5"/>
  <c r="I3103" i="5"/>
  <c r="I3238" i="5"/>
  <c r="I67" i="5"/>
  <c r="I368" i="5"/>
  <c r="I437" i="5"/>
  <c r="I725" i="5"/>
  <c r="I864" i="5"/>
  <c r="I1007" i="5"/>
  <c r="I1116" i="5"/>
  <c r="I1265" i="5"/>
  <c r="I1646" i="5"/>
  <c r="I1858" i="5"/>
  <c r="I1922" i="5"/>
  <c r="I2084" i="5"/>
  <c r="I2200" i="5"/>
  <c r="I2289" i="5"/>
  <c r="I2763" i="5"/>
  <c r="I2965" i="5"/>
  <c r="I3124" i="5"/>
  <c r="I3354" i="5"/>
  <c r="I473" i="5"/>
  <c r="I1049" i="5"/>
  <c r="I1302" i="5"/>
  <c r="I1513" i="5"/>
  <c r="I1623" i="5"/>
  <c r="I1785" i="5"/>
  <c r="I2083" i="5"/>
  <c r="I2316" i="5"/>
  <c r="I2371" i="5"/>
  <c r="I2788" i="5"/>
  <c r="I2994" i="5"/>
  <c r="I3334" i="5"/>
  <c r="I57" i="5"/>
  <c r="I194" i="5"/>
  <c r="I718" i="5"/>
  <c r="I1559" i="5"/>
  <c r="I1746" i="5"/>
  <c r="I2250" i="5"/>
  <c r="I2666" i="5"/>
  <c r="I2834" i="5"/>
  <c r="I3097" i="5"/>
  <c r="I3167" i="5"/>
  <c r="I3256" i="5"/>
  <c r="I3265" i="5"/>
  <c r="I3473" i="5"/>
  <c r="I4115" i="5"/>
  <c r="I4362" i="5"/>
  <c r="I3558" i="5"/>
  <c r="I3729" i="5"/>
  <c r="I3974" i="5"/>
  <c r="I4122" i="5"/>
  <c r="I4270" i="5"/>
  <c r="I4050" i="5"/>
  <c r="I4368" i="5"/>
  <c r="I3522" i="5"/>
  <c r="I3885" i="5"/>
  <c r="I4172" i="5"/>
  <c r="I4331" i="5"/>
  <c r="I156" i="5"/>
  <c r="I377" i="5"/>
  <c r="I501" i="5"/>
  <c r="I948" i="5"/>
  <c r="I997" i="5"/>
  <c r="I1141" i="5"/>
  <c r="I1667" i="5"/>
  <c r="I1810" i="5"/>
  <c r="I1921" i="5"/>
  <c r="I2112" i="5"/>
  <c r="I2303" i="5"/>
  <c r="I2640" i="5"/>
  <c r="I2919" i="5"/>
  <c r="I3299" i="5"/>
  <c r="I163" i="5"/>
  <c r="I432" i="5"/>
  <c r="I706" i="5"/>
  <c r="I1335" i="5"/>
  <c r="I1686" i="5"/>
  <c r="I2001" i="5"/>
  <c r="I2375" i="5"/>
  <c r="I3036" i="5"/>
  <c r="I467" i="5"/>
  <c r="I857" i="5"/>
  <c r="I956" i="5"/>
  <c r="I1105" i="5"/>
  <c r="I1272" i="5"/>
  <c r="I1488" i="5"/>
  <c r="I1806" i="5"/>
  <c r="I2113" i="5"/>
  <c r="I2326" i="5"/>
  <c r="I2758" i="5"/>
  <c r="I2951" i="5"/>
  <c r="I3063" i="5"/>
  <c r="I3363" i="5"/>
  <c r="I502" i="5"/>
  <c r="I94" i="5"/>
  <c r="I485" i="5"/>
  <c r="I672" i="5"/>
  <c r="I1830" i="5"/>
  <c r="I2274" i="5"/>
  <c r="I2517" i="5"/>
  <c r="I2893" i="5"/>
  <c r="I3190" i="5"/>
  <c r="I3657" i="5"/>
  <c r="I3833" i="5"/>
  <c r="I3698" i="5"/>
  <c r="I4042" i="5"/>
  <c r="I4132" i="5"/>
  <c r="I4296" i="5"/>
  <c r="I4199" i="5"/>
  <c r="I3673" i="5"/>
  <c r="I4170" i="5"/>
  <c r="I4346" i="5"/>
  <c r="I140" i="5"/>
  <c r="I225" i="5"/>
  <c r="I619" i="5"/>
  <c r="I829" i="5"/>
  <c r="I1048" i="5"/>
  <c r="I1273" i="5"/>
  <c r="I2137" i="5"/>
  <c r="I2542" i="5"/>
  <c r="I2778" i="5"/>
  <c r="I2933" i="5"/>
  <c r="I3117" i="5"/>
  <c r="I74" i="5"/>
  <c r="I155" i="5"/>
  <c r="I696" i="5"/>
  <c r="I885" i="5"/>
  <c r="I1224" i="5"/>
  <c r="I1459" i="5"/>
  <c r="I1771" i="5"/>
  <c r="I2036" i="5"/>
  <c r="I2541" i="5"/>
  <c r="I2803" i="5"/>
  <c r="I3191" i="5"/>
  <c r="I216" i="5"/>
  <c r="I633" i="5"/>
  <c r="I970" i="5"/>
  <c r="I1673" i="5"/>
  <c r="I2651" i="5"/>
  <c r="I2969" i="5"/>
  <c r="I3174" i="5"/>
  <c r="I44" i="5"/>
  <c r="I474" i="5"/>
  <c r="I311" i="5"/>
  <c r="I712" i="5"/>
  <c r="I1628" i="5"/>
  <c r="I1764" i="5"/>
  <c r="I2656" i="5"/>
  <c r="I2883" i="5"/>
  <c r="I3139" i="5"/>
  <c r="I3180" i="5"/>
  <c r="I3347" i="5"/>
  <c r="I3615" i="5"/>
  <c r="I3854" i="5"/>
  <c r="I3884" i="5"/>
  <c r="I4138" i="5"/>
  <c r="I4067" i="5"/>
  <c r="I3383" i="5"/>
  <c r="I3933" i="5"/>
  <c r="I3497" i="5"/>
  <c r="I3621" i="5"/>
  <c r="I4060" i="5"/>
  <c r="I3799" i="5"/>
  <c r="I3896" i="5"/>
  <c r="I4123" i="5"/>
  <c r="I193" i="5"/>
  <c r="I610" i="5"/>
  <c r="I1134" i="5"/>
  <c r="I1355" i="5"/>
  <c r="I1566" i="5"/>
  <c r="I1994" i="5"/>
  <c r="I2154" i="5"/>
  <c r="I2315" i="5"/>
  <c r="I2548" i="5"/>
  <c r="I2674" i="5"/>
  <c r="I3131" i="5"/>
  <c r="I3255" i="5"/>
  <c r="I167" i="5"/>
  <c r="I459" i="5"/>
  <c r="I745" i="5"/>
  <c r="I918" i="5"/>
  <c r="I1041" i="5"/>
  <c r="I1876" i="5"/>
  <c r="I1949" i="5"/>
  <c r="I2124" i="5"/>
  <c r="I2219" i="5"/>
  <c r="I2351" i="5"/>
  <c r="I2571" i="5"/>
  <c r="I2829" i="5"/>
  <c r="I3042" i="5"/>
  <c r="I3362" i="5"/>
  <c r="I682" i="5"/>
  <c r="I845" i="5"/>
  <c r="I1062" i="5"/>
  <c r="I1245" i="5"/>
  <c r="I1349" i="5"/>
  <c r="I1536" i="5"/>
  <c r="I1694" i="5"/>
  <c r="I1811" i="5"/>
  <c r="I1927" i="5"/>
  <c r="I2146" i="5"/>
  <c r="I2322" i="5"/>
  <c r="I2911" i="5"/>
  <c r="I3001" i="5"/>
  <c r="I3368" i="5"/>
  <c r="I75" i="5"/>
  <c r="I242" i="5"/>
  <c r="I943" i="5"/>
  <c r="I1204" i="5"/>
  <c r="I1605" i="5"/>
  <c r="I1772" i="5"/>
  <c r="I1948" i="5"/>
  <c r="I2145" i="5"/>
  <c r="I2281" i="5"/>
  <c r="I2362" i="5"/>
  <c r="I2711" i="5"/>
  <c r="I3111" i="5"/>
  <c r="I3186" i="5"/>
  <c r="I3627" i="5"/>
  <c r="I3807" i="5"/>
  <c r="I4218" i="5"/>
  <c r="I3601" i="5"/>
  <c r="I3757" i="5"/>
  <c r="I3986" i="5"/>
  <c r="I4193" i="5"/>
  <c r="I3703" i="5"/>
  <c r="I3808" i="5"/>
  <c r="I4096" i="5"/>
  <c r="I4380" i="5"/>
  <c r="I3665" i="5"/>
  <c r="I4261" i="5"/>
  <c r="I180" i="5"/>
  <c r="I398" i="5"/>
  <c r="I533" i="5"/>
  <c r="I794" i="5"/>
  <c r="I1069" i="5"/>
  <c r="I1225" i="5"/>
  <c r="I1336" i="5"/>
  <c r="I1765" i="5"/>
  <c r="I1829" i="5"/>
  <c r="I1977" i="5"/>
  <c r="I2193" i="5"/>
  <c r="I2321" i="5"/>
  <c r="I3006" i="5"/>
  <c r="I3424" i="5"/>
  <c r="I378" i="5"/>
  <c r="I207" i="5"/>
  <c r="I334" i="5"/>
  <c r="I458" i="5"/>
  <c r="I724" i="5"/>
  <c r="I1006" i="5"/>
  <c r="I1429" i="5"/>
  <c r="I1698" i="5"/>
  <c r="I2232" i="5"/>
  <c r="I2645" i="5"/>
  <c r="I2959" i="5"/>
  <c r="I3050" i="5"/>
  <c r="I3292" i="5"/>
  <c r="I872" i="5"/>
  <c r="I974" i="5"/>
  <c r="I1121" i="5"/>
  <c r="I1348" i="5"/>
  <c r="I1640" i="5"/>
  <c r="I1821" i="5"/>
  <c r="I2138" i="5"/>
  <c r="I2523" i="5"/>
  <c r="I2808" i="5"/>
  <c r="I3007" i="5"/>
  <c r="I3070" i="5"/>
  <c r="I3196" i="5"/>
  <c r="I558" i="5"/>
  <c r="I109" i="5"/>
  <c r="I513" i="5"/>
  <c r="I732" i="5"/>
  <c r="I897" i="5"/>
  <c r="I1428" i="5"/>
  <c r="I1835" i="5"/>
  <c r="I2170" i="5"/>
  <c r="I2298" i="5"/>
  <c r="I2912" i="5"/>
  <c r="I3209" i="5"/>
  <c r="I3872" i="5"/>
  <c r="I4051" i="5"/>
  <c r="I3739" i="5"/>
  <c r="I3890" i="5"/>
  <c r="I4140" i="5"/>
  <c r="I4303" i="5"/>
  <c r="I4209" i="5"/>
  <c r="I3457" i="5"/>
  <c r="I4179" i="5"/>
  <c r="I4363" i="5"/>
  <c r="I90" i="5"/>
  <c r="I176" i="5"/>
  <c r="I491" i="5"/>
  <c r="I650" i="5"/>
  <c r="I955" i="5"/>
  <c r="I1063" i="5"/>
  <c r="I1301" i="5"/>
  <c r="I1662" i="5"/>
  <c r="I2068" i="5"/>
  <c r="I2233" i="5"/>
  <c r="I2600" i="5"/>
  <c r="I2868" i="5"/>
  <c r="I2983" i="5"/>
  <c r="I3376" i="5"/>
  <c r="I84" i="5"/>
  <c r="I162" i="5"/>
  <c r="I527" i="5"/>
  <c r="I803" i="5"/>
  <c r="I891" i="5"/>
  <c r="I1342" i="5"/>
  <c r="I2153" i="5"/>
  <c r="I2821" i="5"/>
  <c r="I3230" i="5"/>
  <c r="I392" i="5"/>
  <c r="I793" i="5"/>
  <c r="I1800" i="5"/>
  <c r="I1937" i="5"/>
  <c r="I2355" i="5"/>
  <c r="I2726" i="5"/>
  <c r="I3022" i="5"/>
  <c r="I141" i="5"/>
  <c r="I514" i="5"/>
  <c r="I431" i="5"/>
  <c r="I681" i="5"/>
  <c r="I1026" i="5"/>
  <c r="I1391" i="5"/>
  <c r="I1528" i="5"/>
  <c r="I2918" i="5"/>
  <c r="I3200" i="5"/>
  <c r="I3425" i="5"/>
  <c r="I3355" i="5"/>
  <c r="I3633" i="5"/>
  <c r="I3927" i="5"/>
  <c r="I3498" i="5"/>
  <c r="I3600" i="5"/>
  <c r="I4133" i="5"/>
  <c r="I4253" i="5"/>
  <c r="I3942" i="5"/>
  <c r="I4269" i="5"/>
  <c r="I35" i="5"/>
  <c r="I852" i="5"/>
  <c r="I1588" i="5"/>
  <c r="I1969" i="5"/>
  <c r="I2798" i="5"/>
  <c r="I3400" i="5"/>
  <c r="I346" i="5"/>
  <c r="I1079" i="5"/>
  <c r="I1600" i="5"/>
  <c r="I2044" i="5"/>
  <c r="I2615" i="5"/>
  <c r="I822" i="5"/>
  <c r="I1356" i="5"/>
  <c r="I1888" i="5"/>
  <c r="I2932" i="5"/>
  <c r="I592" i="5"/>
  <c r="I963" i="5"/>
  <c r="I1750" i="5"/>
  <c r="I3320" i="5"/>
  <c r="I4339" i="5"/>
  <c r="I297" i="5"/>
  <c r="I100" i="5"/>
  <c r="I457" i="5"/>
  <c r="I658" i="5"/>
  <c r="I879" i="5"/>
  <c r="I1016" i="5"/>
  <c r="I1189" i="5"/>
  <c r="I1611" i="5"/>
  <c r="I1647" i="5"/>
  <c r="I1871" i="5"/>
  <c r="I2067" i="5"/>
  <c r="I2092" i="5"/>
  <c r="I2588" i="5"/>
  <c r="I2853" i="5"/>
  <c r="I3077" i="5"/>
  <c r="I241" i="5"/>
  <c r="I420" i="5"/>
  <c r="I600" i="5"/>
  <c r="I1106" i="5"/>
  <c r="I1203" i="5"/>
  <c r="I1458" i="5"/>
  <c r="I1745" i="5"/>
  <c r="I1900" i="5"/>
  <c r="I2035" i="5"/>
  <c r="I2059" i="5"/>
  <c r="I2131" i="5"/>
  <c r="I2499" i="5"/>
  <c r="I2925" i="5"/>
  <c r="I3409" i="5"/>
  <c r="I288" i="5"/>
  <c r="I762" i="5"/>
  <c r="I890" i="5"/>
  <c r="I1413" i="5"/>
  <c r="I1633" i="5"/>
  <c r="I1735" i="5"/>
  <c r="I1815" i="5"/>
  <c r="I1932" i="5"/>
  <c r="I2020" i="5"/>
  <c r="I2185" i="5"/>
  <c r="I2282" i="5"/>
  <c r="I2336" i="5"/>
  <c r="I3161" i="5"/>
  <c r="I3488" i="5"/>
  <c r="I192" i="5"/>
  <c r="I271" i="5"/>
  <c r="I429" i="5"/>
  <c r="I640" i="5"/>
  <c r="I844" i="5"/>
  <c r="I969" i="5"/>
  <c r="I1154" i="5"/>
  <c r="I1883" i="5"/>
  <c r="I2000" i="5"/>
  <c r="I2511" i="5"/>
  <c r="I2924" i="5"/>
  <c r="I3056" i="5"/>
  <c r="I3300" i="5"/>
  <c r="I3433" i="5"/>
  <c r="I3926" i="5"/>
  <c r="I4106" i="5"/>
  <c r="I4379" i="5"/>
  <c r="I3475" i="5"/>
  <c r="I3672" i="5"/>
  <c r="I3913" i="5"/>
  <c r="I3585" i="5"/>
  <c r="I3721" i="5"/>
  <c r="I3840" i="5"/>
  <c r="I4116" i="5"/>
  <c r="I4263" i="5"/>
  <c r="I3602" i="5"/>
  <c r="I3815" i="5"/>
  <c r="I3957" i="5"/>
  <c r="I4188" i="5"/>
  <c r="I639" i="5"/>
  <c r="I985" i="5"/>
  <c r="I1197" i="5"/>
  <c r="I1387" i="5"/>
  <c r="I1624" i="5"/>
  <c r="I1801" i="5"/>
  <c r="I1870" i="5"/>
  <c r="I2012" i="5"/>
  <c r="I2162" i="5"/>
  <c r="I2331" i="5"/>
  <c r="I2554" i="5"/>
  <c r="I2716" i="5"/>
  <c r="I281" i="5"/>
  <c r="I942" i="5"/>
  <c r="I1140" i="5"/>
  <c r="I1169" i="5"/>
  <c r="I1907" i="5"/>
  <c r="I2028" i="5"/>
  <c r="I2736" i="5"/>
  <c r="I3057" i="5"/>
  <c r="I3160" i="5"/>
  <c r="I3396" i="5"/>
  <c r="I756" i="5"/>
  <c r="I853" i="5"/>
  <c r="I1127" i="5"/>
  <c r="I1259" i="5"/>
  <c r="I1368" i="5"/>
  <c r="I1560" i="5"/>
  <c r="I1724" i="5"/>
  <c r="I2178" i="5"/>
  <c r="I2341" i="5"/>
  <c r="I2555" i="5"/>
  <c r="I2937" i="5"/>
  <c r="I3434" i="5"/>
  <c r="I273" i="5"/>
  <c r="I114" i="5"/>
  <c r="I583" i="5"/>
  <c r="I1232" i="5"/>
  <c r="I1444" i="5"/>
  <c r="I1672" i="5"/>
  <c r="I1877" i="5"/>
  <c r="I2019" i="5"/>
  <c r="I2177" i="5"/>
  <c r="I2288" i="5"/>
  <c r="I2376" i="5"/>
  <c r="I2746" i="5"/>
  <c r="I2950" i="5"/>
  <c r="I3125" i="5"/>
  <c r="I3219" i="5"/>
  <c r="I3329" i="5"/>
  <c r="I3664" i="5"/>
  <c r="I3834" i="5"/>
  <c r="I4241" i="5"/>
  <c r="I3626" i="5"/>
  <c r="I3777" i="5"/>
  <c r="I4013" i="5"/>
  <c r="I4204" i="5"/>
  <c r="I3531" i="5"/>
  <c r="I3756" i="5"/>
  <c r="I3826" i="5"/>
  <c r="I3720" i="5"/>
  <c r="I3765" i="5"/>
  <c r="I4281" i="5"/>
  <c r="I565" i="5"/>
  <c r="I839" i="5"/>
  <c r="I1095" i="5"/>
  <c r="I1246" i="5"/>
  <c r="I1392" i="5"/>
  <c r="I1779" i="5"/>
  <c r="I2007" i="5"/>
  <c r="I2201" i="5"/>
  <c r="I2605" i="5"/>
  <c r="I3102" i="5"/>
  <c r="I50" i="5"/>
  <c r="I817" i="5"/>
  <c r="I1148" i="5"/>
  <c r="I1231" i="5"/>
  <c r="I1834" i="5"/>
  <c r="I2297" i="5"/>
  <c r="I2783" i="5"/>
  <c r="I3064" i="5"/>
  <c r="I911" i="5"/>
  <c r="I986" i="5"/>
  <c r="I1133" i="5"/>
  <c r="I1238" i="5"/>
  <c r="I1399" i="5"/>
  <c r="I1840" i="5"/>
  <c r="I2161" i="5"/>
  <c r="I2234" i="5"/>
  <c r="I2620" i="5"/>
  <c r="I2858" i="5"/>
  <c r="I3029" i="5"/>
  <c r="I3078" i="5"/>
  <c r="I30" i="5"/>
  <c r="I127" i="5"/>
  <c r="I521" i="5"/>
  <c r="I777" i="5"/>
  <c r="I1161" i="5"/>
  <c r="I1572" i="5"/>
  <c r="I1901" i="5"/>
  <c r="I1954" i="5"/>
  <c r="I2816" i="5"/>
  <c r="I3016" i="5"/>
  <c r="I3239" i="5"/>
  <c r="I3584" i="5"/>
  <c r="I3918" i="5"/>
  <c r="I4289" i="5"/>
  <c r="I3528" i="5"/>
  <c r="I3785" i="5"/>
  <c r="I4210" i="5"/>
  <c r="I4330" i="5"/>
  <c r="I3565" i="5"/>
  <c r="I4150" i="5"/>
  <c r="I4217" i="5"/>
  <c r="I4352" i="5"/>
  <c r="I3341" i="5"/>
  <c r="I3474" i="5"/>
  <c r="I3650" i="5"/>
  <c r="I3738" i="5"/>
  <c r="I3947" i="5"/>
  <c r="I4139" i="5"/>
  <c r="I4389" i="5"/>
  <c r="I168" i="5"/>
  <c r="I202" i="5"/>
  <c r="I542" i="5"/>
  <c r="I697" i="5"/>
  <c r="I912" i="5"/>
  <c r="I1239" i="5"/>
  <c r="I1521" i="5"/>
  <c r="I1723" i="5"/>
  <c r="I2099" i="5"/>
  <c r="I2257" i="5"/>
  <c r="I2706" i="5"/>
  <c r="I3000" i="5"/>
  <c r="I312" i="5"/>
  <c r="I95" i="5"/>
  <c r="I185" i="5"/>
  <c r="I601" i="5"/>
  <c r="I1362" i="5"/>
  <c r="I2240" i="5"/>
  <c r="I2493" i="5"/>
  <c r="I2644" i="5"/>
  <c r="I3015" i="5"/>
  <c r="I3328" i="5"/>
  <c r="I526" i="5"/>
  <c r="I863" i="5"/>
  <c r="I1291" i="5"/>
  <c r="I1550" i="5"/>
  <c r="I1976" i="5"/>
  <c r="I2027" i="5"/>
  <c r="I2258" i="5"/>
  <c r="I2878" i="5"/>
  <c r="I3035" i="5"/>
  <c r="I335" i="5"/>
  <c r="I548" i="5"/>
  <c r="I443" i="5"/>
  <c r="I1042" i="5"/>
  <c r="I1594" i="5"/>
  <c r="I1859" i="5"/>
  <c r="I2106" i="5"/>
  <c r="I3208" i="5"/>
  <c r="I3315" i="5"/>
  <c r="I3482" i="5"/>
  <c r="I3649" i="5"/>
  <c r="I3551" i="5"/>
  <c r="I3871" i="5"/>
  <c r="I4282" i="5"/>
  <c r="I3953" i="5"/>
  <c r="I632" i="5"/>
  <c r="I1111" i="5"/>
  <c r="I1693" i="5"/>
  <c r="I2370" i="5"/>
  <c r="I3218" i="5"/>
  <c r="I128" i="5"/>
  <c r="I773" i="5"/>
  <c r="I1374" i="5"/>
  <c r="I1987" i="5"/>
  <c r="I2363" i="5"/>
  <c r="I733" i="5"/>
  <c r="I1176" i="5"/>
  <c r="I1685" i="5"/>
  <c r="I2265" i="5"/>
  <c r="I249" i="5"/>
  <c r="I834" i="5"/>
  <c r="I1474" i="5"/>
  <c r="I2290" i="5"/>
  <c r="I3291" i="5"/>
  <c r="I3907" i="5"/>
  <c r="I3878" i="5"/>
  <c r="I62" i="5"/>
  <c r="I122" i="5"/>
  <c r="I250" i="5"/>
  <c r="I549" i="5"/>
  <c r="I919" i="5"/>
  <c r="I1034" i="5"/>
  <c r="I1209" i="5"/>
  <c r="I1537" i="5"/>
  <c r="I1657" i="5"/>
  <c r="I2169" i="5"/>
  <c r="I2266" i="5"/>
  <c r="I2721" i="5"/>
  <c r="I2898" i="5"/>
  <c r="I3110" i="5"/>
  <c r="I3264" i="5"/>
  <c r="I132" i="5"/>
  <c r="I287" i="5"/>
  <c r="I486" i="5"/>
  <c r="I688" i="5"/>
  <c r="I962" i="5"/>
  <c r="I1122" i="5"/>
  <c r="I1361" i="5"/>
  <c r="I1520" i="5"/>
  <c r="I1757" i="5"/>
  <c r="I1786" i="5"/>
  <c r="I2091" i="5"/>
  <c r="I2186" i="5"/>
  <c r="I2547" i="5"/>
  <c r="I2973" i="5"/>
  <c r="I509" i="5"/>
  <c r="I1055" i="5"/>
  <c r="I1217" i="5"/>
  <c r="I1651" i="5"/>
  <c r="I1778" i="5"/>
  <c r="I1968" i="5"/>
  <c r="I2051" i="5"/>
  <c r="I2194" i="5"/>
  <c r="I2304" i="5"/>
  <c r="I2768" i="5"/>
  <c r="I3181" i="5"/>
  <c r="I198" i="5"/>
  <c r="I573" i="5"/>
  <c r="I689" i="5"/>
  <c r="I886" i="5"/>
  <c r="I1175" i="5"/>
  <c r="I1343" i="5"/>
  <c r="I1917" i="5"/>
  <c r="I2043" i="5"/>
  <c r="I2635" i="5"/>
  <c r="I2958" i="5"/>
  <c r="I3085" i="5"/>
  <c r="I3263" i="5"/>
  <c r="I3564" i="5"/>
  <c r="I3841" i="5"/>
  <c r="I3961" i="5"/>
  <c r="I4134" i="5"/>
  <c r="I3542" i="5"/>
  <c r="I3766" i="5"/>
  <c r="I3603" i="5"/>
  <c r="I3747" i="5"/>
  <c r="I3919" i="5"/>
  <c r="I4288" i="5"/>
  <c r="I3456" i="5"/>
  <c r="I3527" i="5"/>
  <c r="I4059" i="5"/>
  <c r="I99" i="5"/>
  <c r="I871" i="5"/>
  <c r="I1070" i="5"/>
  <c r="I1218" i="5"/>
  <c r="I1414" i="5"/>
  <c r="I1699" i="5"/>
  <c r="I1822" i="5"/>
  <c r="I2060" i="5"/>
  <c r="I2249" i="5"/>
  <c r="I2572" i="5"/>
  <c r="I3071" i="5"/>
  <c r="I123" i="5"/>
  <c r="I353" i="5"/>
  <c r="I428" i="5"/>
  <c r="I559" i="5"/>
  <c r="I713" i="5"/>
  <c r="I1196" i="5"/>
  <c r="I1473" i="5"/>
  <c r="I1793" i="5"/>
  <c r="I1911" i="5"/>
  <c r="I2052" i="5"/>
  <c r="I2751" i="5"/>
  <c r="I2873" i="5"/>
  <c r="I3166" i="5"/>
  <c r="I3446" i="5"/>
  <c r="I778" i="5"/>
  <c r="I975" i="5"/>
  <c r="I1153" i="5"/>
  <c r="I1279" i="5"/>
  <c r="I1386" i="5"/>
  <c r="I1567" i="5"/>
  <c r="I2075" i="5"/>
  <c r="I2225" i="5"/>
  <c r="I2350" i="5"/>
  <c r="I2690" i="5"/>
  <c r="I2943" i="5"/>
  <c r="I31" i="5"/>
  <c r="I673" i="5"/>
  <c r="I1545" i="5"/>
  <c r="I1889" i="5"/>
  <c r="I2205" i="5"/>
  <c r="I2535" i="5"/>
  <c r="I2793" i="5"/>
  <c r="I3049" i="5"/>
  <c r="I3151" i="5"/>
  <c r="I3240" i="5"/>
  <c r="I3411" i="5"/>
  <c r="I3748" i="5"/>
  <c r="I3846" i="5"/>
  <c r="I4076" i="5"/>
  <c r="I4351" i="5"/>
  <c r="I3541" i="5"/>
  <c r="I4105" i="5"/>
  <c r="I4225" i="5"/>
  <c r="I3845" i="5"/>
  <c r="I4309" i="5"/>
  <c r="I3730" i="5"/>
  <c r="I3795" i="5"/>
  <c r="I4041" i="5"/>
  <c r="I4295" i="5"/>
  <c r="I40" i="5"/>
  <c r="I221" i="5"/>
  <c r="I469" i="5"/>
  <c r="I624" i="5"/>
  <c r="I858" i="5"/>
  <c r="I936" i="5"/>
  <c r="I1126" i="5"/>
  <c r="I1280" i="5"/>
  <c r="I1489" i="5"/>
  <c r="I1792" i="5"/>
  <c r="I1846" i="5"/>
  <c r="I2100" i="5"/>
  <c r="I2206" i="5"/>
  <c r="I2630" i="5"/>
  <c r="I2905" i="5"/>
  <c r="I3280" i="5"/>
  <c r="I85" i="5"/>
  <c r="I264" i="5"/>
  <c r="I646" i="5"/>
  <c r="I833" i="5"/>
  <c r="I1168" i="5"/>
  <c r="I1852" i="5"/>
  <c r="I2309" i="5"/>
  <c r="I2833" i="5"/>
  <c r="I3185" i="5"/>
  <c r="I151" i="5"/>
  <c r="I744" i="5"/>
  <c r="I937" i="5"/>
  <c r="I1035" i="5"/>
  <c r="I1253" i="5"/>
  <c r="I1443" i="5"/>
  <c r="I1713" i="5"/>
  <c r="I1751" i="5"/>
  <c r="I2212" i="5"/>
  <c r="I2661" i="5"/>
  <c r="I2942" i="5"/>
  <c r="I3118" i="5"/>
  <c r="I468" i="5"/>
  <c r="I45" i="5"/>
  <c r="I449" i="5"/>
  <c r="I1373" i="5"/>
  <c r="I1906" i="5"/>
  <c r="I2241" i="5"/>
  <c r="I2505" i="5"/>
  <c r="I2863" i="5"/>
  <c r="I3096" i="5"/>
  <c r="I3476" i="5"/>
  <c r="I3634" i="5"/>
  <c r="I3771" i="5"/>
  <c r="I3932" i="5"/>
  <c r="I4421" i="5"/>
  <c r="I4025" i="5"/>
  <c r="I4224" i="5"/>
  <c r="I4252" i="5"/>
  <c r="I4347" i="5"/>
  <c r="I3593" i="5"/>
  <c r="I4189" i="5"/>
  <c r="I4388" i="5"/>
  <c r="I3550" i="5"/>
  <c r="I3656" i="5"/>
  <c r="I4164" i="5"/>
  <c r="I270" i="5"/>
  <c r="I118" i="5"/>
  <c r="I220" i="5"/>
  <c r="I391" i="5"/>
  <c r="I812" i="5"/>
  <c r="I1260" i="5"/>
  <c r="I1618" i="5"/>
  <c r="I1895" i="5"/>
  <c r="I2118" i="5"/>
  <c r="I2342" i="5"/>
  <c r="I2741" i="5"/>
  <c r="I3028" i="5"/>
  <c r="I419" i="5"/>
  <c r="I145" i="5"/>
  <c r="I654" i="5"/>
  <c r="I1379" i="5"/>
  <c r="I1604" i="5"/>
  <c r="I2013" i="5"/>
  <c r="I2529" i="5"/>
  <c r="I3084" i="5"/>
  <c r="I3374" i="5"/>
  <c r="I543" i="5"/>
  <c r="I1634" i="5"/>
  <c r="I2296" i="5"/>
  <c r="I2641" i="5"/>
  <c r="I2888" i="5"/>
  <c r="I3092" i="5"/>
  <c r="I413" i="5"/>
  <c r="I618" i="5"/>
  <c r="I574" i="5"/>
  <c r="I821" i="5"/>
  <c r="I1080" i="5"/>
  <c r="I1182" i="5"/>
  <c r="I1505" i="5"/>
  <c r="I1617" i="5"/>
  <c r="I2008" i="5"/>
  <c r="I3091" i="5"/>
  <c r="I3173" i="5"/>
  <c r="I3231" i="5"/>
  <c r="I3314" i="5"/>
  <c r="I3592" i="5"/>
  <c r="I3825" i="5"/>
  <c r="I3816" i="5"/>
  <c r="I4085" i="5"/>
  <c r="I3906" i="5"/>
  <c r="I4155" i="5"/>
  <c r="I4322" i="5"/>
  <c r="I3973" i="5"/>
  <c r="I2487" i="5"/>
  <c r="I2847" i="5"/>
  <c r="I369" i="5"/>
  <c r="I3143" i="5"/>
  <c r="I3789" i="5"/>
  <c r="I49" i="5"/>
  <c r="I206" i="5"/>
  <c r="I56" i="5"/>
  <c r="I172" i="5"/>
  <c r="I296" i="5"/>
  <c r="I1942" i="5"/>
  <c r="I66" i="5"/>
  <c r="I323" i="5"/>
  <c r="I1943" i="5"/>
  <c r="I3800" i="5"/>
  <c r="I191" i="5"/>
  <c r="I256" i="5"/>
  <c r="I3410" i="5"/>
  <c r="I39" i="5"/>
  <c r="I104" i="5"/>
  <c r="I215" i="5"/>
  <c r="I12" i="5"/>
  <c r="I4033" i="5"/>
  <c r="I25" i="5"/>
  <c r="I8" i="5"/>
  <c r="I16" i="5"/>
  <c r="I113" i="5"/>
  <c r="I20" i="5"/>
  <c r="I79" i="5"/>
  <c r="I1916" i="5"/>
  <c r="I3516" i="5"/>
  <c r="I448" i="5"/>
  <c r="I272" i="5"/>
  <c r="I26" i="5"/>
  <c r="I108" i="5"/>
  <c r="I257" i="5"/>
  <c r="I3395" i="5"/>
  <c r="J3204" i="5" l="1"/>
  <c r="E965" i="8" s="1"/>
  <c r="J3156" i="5"/>
  <c r="E956" i="8" s="1"/>
  <c r="J2969" i="5"/>
  <c r="J2964" i="5"/>
  <c r="E923" i="8" s="1"/>
  <c r="J3185" i="5"/>
  <c r="E961" i="8" s="1"/>
  <c r="J191" i="5"/>
  <c r="E44" i="8" s="1"/>
  <c r="J3795" i="5"/>
  <c r="E1109" i="8" s="1"/>
  <c r="J2829" i="5"/>
  <c r="E900" i="8" s="1"/>
  <c r="J1805" i="5"/>
  <c r="E298" i="8" s="1"/>
  <c r="J30" i="5"/>
  <c r="E11" i="8" s="1"/>
  <c r="J2481" i="5"/>
  <c r="E713" i="8" s="1"/>
  <c r="J2326" i="5"/>
  <c r="J3200" i="5"/>
  <c r="E964" i="8" s="1"/>
  <c r="J2529" i="5"/>
  <c r="E721" i="8" s="1"/>
  <c r="J4421" i="5"/>
  <c r="E1238" i="8" s="1"/>
  <c r="J2200" i="5"/>
  <c r="E359" i="8" s="1"/>
  <c r="J2561" i="5"/>
  <c r="E852" i="8" s="1"/>
  <c r="J2566" i="5"/>
  <c r="E853" i="8" s="1"/>
  <c r="H58" i="8"/>
  <c r="I58" i="8"/>
  <c r="F58" i="8"/>
  <c r="H642" i="8"/>
  <c r="I642" i="8"/>
  <c r="F642" i="8"/>
  <c r="H405" i="8"/>
  <c r="I405" i="8"/>
  <c r="F405" i="8"/>
  <c r="I626" i="8"/>
  <c r="F626" i="8"/>
  <c r="H626" i="8"/>
  <c r="H66" i="8"/>
  <c r="I66" i="8" s="1"/>
  <c r="F66" i="8"/>
  <c r="F765" i="8"/>
  <c r="I765" i="8"/>
  <c r="H765" i="8"/>
  <c r="F735" i="8"/>
  <c r="H735" i="8"/>
  <c r="I735" i="8"/>
  <c r="H60" i="8"/>
  <c r="I60" i="8"/>
  <c r="F60" i="8"/>
  <c r="H409" i="8"/>
  <c r="I409" i="8"/>
  <c r="F409" i="8"/>
  <c r="F294" i="8"/>
  <c r="H294" i="8"/>
  <c r="I294" i="8" s="1"/>
  <c r="H666" i="8"/>
  <c r="I666" i="8"/>
  <c r="F666" i="8"/>
  <c r="H738" i="8"/>
  <c r="I738" i="8"/>
  <c r="F738" i="8"/>
  <c r="H564" i="8"/>
  <c r="I564" i="8"/>
  <c r="F564" i="8"/>
  <c r="H484" i="8"/>
  <c r="I484" i="8"/>
  <c r="F484" i="8"/>
  <c r="H140" i="8"/>
  <c r="I140" i="8" s="1"/>
  <c r="F140" i="8"/>
  <c r="H542" i="8"/>
  <c r="I542" i="8"/>
  <c r="F542" i="8"/>
  <c r="H1015" i="8"/>
  <c r="I1015" i="8" s="1"/>
  <c r="F1015" i="8"/>
  <c r="I1200" i="8"/>
  <c r="F1200" i="8"/>
  <c r="H1200" i="8"/>
  <c r="F811" i="8"/>
  <c r="H811" i="8"/>
  <c r="I811" i="8"/>
  <c r="I426" i="8"/>
  <c r="H426" i="8"/>
  <c r="F426" i="8"/>
  <c r="I402" i="8"/>
  <c r="F402" i="8"/>
  <c r="H402" i="8"/>
  <c r="H706" i="8"/>
  <c r="I706" i="8"/>
  <c r="F706" i="8"/>
  <c r="I1234" i="8"/>
  <c r="F1234" i="8"/>
  <c r="H1234" i="8"/>
  <c r="I1192" i="8"/>
  <c r="F1192" i="8"/>
  <c r="H1192" i="8"/>
  <c r="H1029" i="8"/>
  <c r="I1029" i="8"/>
  <c r="F1029" i="8"/>
  <c r="H638" i="8"/>
  <c r="I638" i="8"/>
  <c r="F638" i="8"/>
  <c r="I606" i="8"/>
  <c r="F606" i="8"/>
  <c r="H606" i="8"/>
  <c r="H482" i="8"/>
  <c r="I482" i="8"/>
  <c r="F482" i="8"/>
  <c r="H415" i="8"/>
  <c r="I415" i="8"/>
  <c r="F415" i="8"/>
  <c r="I602" i="8"/>
  <c r="F602" i="8"/>
  <c r="H602" i="8"/>
  <c r="H486" i="8"/>
  <c r="I486" i="8"/>
  <c r="F486" i="8"/>
  <c r="I596" i="8"/>
  <c r="F596" i="8"/>
  <c r="H596" i="8"/>
  <c r="H512" i="8"/>
  <c r="I512" i="8"/>
  <c r="F512" i="8"/>
  <c r="H496" i="8"/>
  <c r="I496" i="8"/>
  <c r="F496" i="8"/>
  <c r="H480" i="8"/>
  <c r="I480" i="8"/>
  <c r="F480" i="8"/>
  <c r="H76" i="8"/>
  <c r="I76" i="8"/>
  <c r="F76" i="8"/>
  <c r="H566" i="8"/>
  <c r="I566" i="8"/>
  <c r="F566" i="8"/>
  <c r="I428" i="8"/>
  <c r="H428" i="8"/>
  <c r="F428" i="8"/>
  <c r="I396" i="8"/>
  <c r="F396" i="8"/>
  <c r="H396" i="8"/>
  <c r="H672" i="8"/>
  <c r="I672" i="8"/>
  <c r="F672" i="8"/>
  <c r="I616" i="8"/>
  <c r="H616" i="8"/>
  <c r="F616" i="8"/>
  <c r="I450" i="8"/>
  <c r="F450" i="8"/>
  <c r="H450" i="8"/>
  <c r="F783" i="8"/>
  <c r="H783" i="8"/>
  <c r="I783" i="8"/>
  <c r="F1028" i="8"/>
  <c r="H1028" i="8"/>
  <c r="I1028" i="8"/>
  <c r="I624" i="8"/>
  <c r="H624" i="8"/>
  <c r="F624" i="8"/>
  <c r="H774" i="8"/>
  <c r="I774" i="8"/>
  <c r="F774" i="8"/>
  <c r="F1060" i="8"/>
  <c r="H1060" i="8"/>
  <c r="I1060" i="8"/>
  <c r="H818" i="8"/>
  <c r="I818" i="8"/>
  <c r="F818" i="8"/>
  <c r="H646" i="8"/>
  <c r="I646" i="8"/>
  <c r="F646" i="8"/>
  <c r="I598" i="8"/>
  <c r="F598" i="8"/>
  <c r="H598" i="8"/>
  <c r="H490" i="8"/>
  <c r="I490" i="8"/>
  <c r="F490" i="8"/>
  <c r="I448" i="8"/>
  <c r="F448" i="8"/>
  <c r="H448" i="8"/>
  <c r="I1211" i="8"/>
  <c r="F1211" i="8"/>
  <c r="H1211" i="8"/>
  <c r="I436" i="8"/>
  <c r="F436" i="8"/>
  <c r="H436" i="8"/>
  <c r="F1042" i="8"/>
  <c r="H1042" i="8"/>
  <c r="I1042" i="8"/>
  <c r="H676" i="8"/>
  <c r="I676" i="8"/>
  <c r="F676" i="8"/>
  <c r="H660" i="8"/>
  <c r="I660" i="8"/>
  <c r="F660" i="8"/>
  <c r="H644" i="8"/>
  <c r="I644" i="8"/>
  <c r="F644" i="8"/>
  <c r="I628" i="8"/>
  <c r="H628" i="8"/>
  <c r="F628" i="8"/>
  <c r="I612" i="8"/>
  <c r="H612" i="8"/>
  <c r="F612" i="8"/>
  <c r="H588" i="8"/>
  <c r="I588" i="8"/>
  <c r="F588" i="8"/>
  <c r="H544" i="8"/>
  <c r="I544" i="8"/>
  <c r="F544" i="8"/>
  <c r="H470" i="8"/>
  <c r="I470" i="8"/>
  <c r="F470" i="8"/>
  <c r="H710" i="8"/>
  <c r="I710" i="8"/>
  <c r="F710" i="8"/>
  <c r="H1047" i="8"/>
  <c r="I1047" i="8"/>
  <c r="F1047" i="8"/>
  <c r="I600" i="8"/>
  <c r="F600" i="8"/>
  <c r="H600" i="8"/>
  <c r="I410" i="8"/>
  <c r="F410" i="8"/>
  <c r="H410" i="8"/>
  <c r="F292" i="8"/>
  <c r="H292" i="8"/>
  <c r="I292" i="8" s="1"/>
  <c r="H634" i="8"/>
  <c r="I634" i="8"/>
  <c r="F634" i="8"/>
  <c r="H468" i="8"/>
  <c r="I468" i="8"/>
  <c r="F468" i="8"/>
  <c r="H664" i="8"/>
  <c r="I664" i="8"/>
  <c r="F664" i="8"/>
  <c r="H532" i="8"/>
  <c r="I532" i="8"/>
  <c r="F532" i="8"/>
  <c r="H508" i="8"/>
  <c r="I508" i="8"/>
  <c r="F508" i="8"/>
  <c r="H476" i="8"/>
  <c r="I476" i="8"/>
  <c r="F476" i="8"/>
  <c r="F785" i="8"/>
  <c r="H785" i="8"/>
  <c r="I785" i="8"/>
  <c r="H670" i="8"/>
  <c r="I670" i="8"/>
  <c r="F670" i="8"/>
  <c r="H538" i="8"/>
  <c r="I538" i="8"/>
  <c r="F538" i="8"/>
  <c r="H464" i="8"/>
  <c r="I464" i="8"/>
  <c r="F464" i="8"/>
  <c r="H702" i="8"/>
  <c r="I702" i="8"/>
  <c r="F702" i="8"/>
  <c r="H138" i="8"/>
  <c r="I138" i="8" s="1"/>
  <c r="F138" i="8"/>
  <c r="H558" i="8"/>
  <c r="I558" i="8"/>
  <c r="F558" i="8"/>
  <c r="H1041" i="8"/>
  <c r="I1041" i="8"/>
  <c r="F1041" i="8"/>
  <c r="H536" i="8"/>
  <c r="I536" i="8"/>
  <c r="F536" i="8"/>
  <c r="I422" i="8"/>
  <c r="F422" i="8"/>
  <c r="H422" i="8"/>
  <c r="I406" i="8"/>
  <c r="F406" i="8"/>
  <c r="H406" i="8"/>
  <c r="I390" i="8"/>
  <c r="F390" i="8"/>
  <c r="H390" i="8"/>
  <c r="F168" i="8"/>
  <c r="H168" i="8"/>
  <c r="I168" i="8" s="1"/>
  <c r="I1205" i="8"/>
  <c r="F1205" i="8"/>
  <c r="H1205" i="8"/>
  <c r="F791" i="8"/>
  <c r="H791" i="8"/>
  <c r="I791" i="8"/>
  <c r="H550" i="8"/>
  <c r="I550" i="8"/>
  <c r="F550" i="8"/>
  <c r="I452" i="8"/>
  <c r="F452" i="8"/>
  <c r="H452" i="8"/>
  <c r="F984" i="8"/>
  <c r="H984" i="8"/>
  <c r="I984" i="8"/>
  <c r="H640" i="8"/>
  <c r="I640" i="8"/>
  <c r="F640" i="8"/>
  <c r="H840" i="8"/>
  <c r="I840" i="8"/>
  <c r="F840" i="8"/>
  <c r="H594" i="8"/>
  <c r="I594" i="8"/>
  <c r="F594" i="8"/>
  <c r="H494" i="8"/>
  <c r="I494" i="8"/>
  <c r="F494" i="8"/>
  <c r="I420" i="8"/>
  <c r="F420" i="8"/>
  <c r="H420" i="8"/>
  <c r="I1215" i="8"/>
  <c r="F1215" i="8"/>
  <c r="H1215" i="8"/>
  <c r="H648" i="8"/>
  <c r="I648" i="8"/>
  <c r="F648" i="8"/>
  <c r="H592" i="8"/>
  <c r="I592" i="8"/>
  <c r="F592" i="8"/>
  <c r="H540" i="8"/>
  <c r="I540" i="8"/>
  <c r="F540" i="8"/>
  <c r="I442" i="8"/>
  <c r="F442" i="8"/>
  <c r="H442" i="8"/>
  <c r="H20" i="8"/>
  <c r="I20" i="8" s="1"/>
  <c r="F20" i="8"/>
  <c r="H662" i="8"/>
  <c r="I662" i="8"/>
  <c r="F662" i="8"/>
  <c r="I614" i="8"/>
  <c r="F614" i="8"/>
  <c r="H614" i="8"/>
  <c r="H546" i="8"/>
  <c r="I546" i="8"/>
  <c r="F546" i="8"/>
  <c r="H514" i="8"/>
  <c r="I514" i="8"/>
  <c r="F514" i="8"/>
  <c r="I440" i="8"/>
  <c r="F440" i="8"/>
  <c r="H440" i="8"/>
  <c r="I424" i="8"/>
  <c r="H424" i="8"/>
  <c r="F424" i="8"/>
  <c r="I408" i="8"/>
  <c r="F408" i="8"/>
  <c r="H408" i="8"/>
  <c r="I392" i="8"/>
  <c r="F392" i="8"/>
  <c r="H392" i="8"/>
  <c r="H726" i="8"/>
  <c r="I726" i="8"/>
  <c r="F726" i="8"/>
  <c r="F831" i="8"/>
  <c r="H831" i="8"/>
  <c r="I831" i="8"/>
  <c r="F813" i="8"/>
  <c r="H813" i="8"/>
  <c r="I813" i="8"/>
  <c r="F1000" i="8"/>
  <c r="H1000" i="8"/>
  <c r="I1000" i="8"/>
  <c r="F819" i="8"/>
  <c r="H819" i="8"/>
  <c r="I819" i="8"/>
  <c r="H802" i="8"/>
  <c r="I802" i="8"/>
  <c r="F802" i="8"/>
  <c r="I462" i="8"/>
  <c r="F462" i="8"/>
  <c r="H462" i="8"/>
  <c r="I446" i="8"/>
  <c r="F446" i="8"/>
  <c r="H446" i="8"/>
  <c r="H812" i="8"/>
  <c r="I812" i="8"/>
  <c r="F812" i="8"/>
  <c r="H832" i="8"/>
  <c r="I832" i="8"/>
  <c r="F832" i="8"/>
  <c r="F821" i="8"/>
  <c r="H821" i="8"/>
  <c r="I821" i="8"/>
  <c r="H52" i="8"/>
  <c r="I52" i="8" s="1"/>
  <c r="F52" i="8"/>
  <c r="H64" i="8"/>
  <c r="I64" i="8"/>
  <c r="F64" i="8"/>
  <c r="H68" i="8"/>
  <c r="I68" i="8"/>
  <c r="F68" i="8"/>
  <c r="F687" i="8"/>
  <c r="H687" i="8"/>
  <c r="I687" i="8"/>
  <c r="I610" i="8"/>
  <c r="F610" i="8"/>
  <c r="H610" i="8"/>
  <c r="I1183" i="8"/>
  <c r="F1183" i="8"/>
  <c r="H1183" i="8"/>
  <c r="F358" i="8"/>
  <c r="H358" i="8"/>
  <c r="I358" i="8" s="1"/>
  <c r="H389" i="8"/>
  <c r="I389" i="8"/>
  <c r="F389" i="8"/>
  <c r="H658" i="8"/>
  <c r="I658" i="8"/>
  <c r="F658" i="8"/>
  <c r="H74" i="8"/>
  <c r="I74" i="8" s="1"/>
  <c r="F74" i="8"/>
  <c r="F767" i="8"/>
  <c r="I767" i="8"/>
  <c r="H767" i="8"/>
  <c r="F733" i="8"/>
  <c r="H733" i="8"/>
  <c r="I733" i="8"/>
  <c r="F759" i="8"/>
  <c r="H759" i="8"/>
  <c r="I759" i="8"/>
  <c r="H70" i="8"/>
  <c r="I70" i="8" s="1"/>
  <c r="F70" i="8"/>
  <c r="H397" i="8"/>
  <c r="I397" i="8"/>
  <c r="F397" i="8"/>
  <c r="H674" i="8"/>
  <c r="I674" i="8"/>
  <c r="F674" i="8"/>
  <c r="H417" i="8"/>
  <c r="I417" i="8"/>
  <c r="F417" i="8"/>
  <c r="H478" i="8"/>
  <c r="I478" i="8"/>
  <c r="F478" i="8"/>
  <c r="H500" i="8"/>
  <c r="I500" i="8"/>
  <c r="F500" i="8"/>
  <c r="H758" i="8"/>
  <c r="I758" i="8"/>
  <c r="F758" i="8"/>
  <c r="H391" i="8"/>
  <c r="I391" i="8"/>
  <c r="F391" i="8"/>
  <c r="I1186" i="8"/>
  <c r="F1186" i="8"/>
  <c r="H1186" i="8"/>
  <c r="F1092" i="8"/>
  <c r="H1092" i="8"/>
  <c r="I1092" i="8"/>
  <c r="I458" i="8"/>
  <c r="F458" i="8"/>
  <c r="H458" i="8"/>
  <c r="I418" i="8"/>
  <c r="F418" i="8"/>
  <c r="H418" i="8"/>
  <c r="I386" i="8"/>
  <c r="F386" i="8"/>
  <c r="H386" i="8"/>
  <c r="F795" i="8"/>
  <c r="H795" i="8"/>
  <c r="I795" i="8"/>
  <c r="I1201" i="8"/>
  <c r="F1201" i="8"/>
  <c r="H1201" i="8"/>
  <c r="H1105" i="8"/>
  <c r="I1105" i="8"/>
  <c r="F1105" i="8"/>
  <c r="H1057" i="8"/>
  <c r="I1057" i="8"/>
  <c r="F1057" i="8"/>
  <c r="I622" i="8"/>
  <c r="F622" i="8"/>
  <c r="H622" i="8"/>
  <c r="H506" i="8"/>
  <c r="I506" i="8"/>
  <c r="F506" i="8"/>
  <c r="H474" i="8"/>
  <c r="I474" i="8"/>
  <c r="F474" i="8"/>
  <c r="H1031" i="8"/>
  <c r="I1031" i="8"/>
  <c r="F1031" i="8"/>
  <c r="H510" i="8"/>
  <c r="I510" i="8"/>
  <c r="F510" i="8"/>
  <c r="F833" i="8"/>
  <c r="H833" i="8"/>
  <c r="I833" i="8"/>
  <c r="H520" i="8"/>
  <c r="I520" i="8"/>
  <c r="F520" i="8"/>
  <c r="H504" i="8"/>
  <c r="I504" i="8"/>
  <c r="F504" i="8"/>
  <c r="H488" i="8"/>
  <c r="I488" i="8"/>
  <c r="F488" i="8"/>
  <c r="H142" i="8"/>
  <c r="I142" i="8" s="1"/>
  <c r="F142" i="8"/>
  <c r="H502" i="8"/>
  <c r="I502" i="8"/>
  <c r="F502" i="8"/>
  <c r="I404" i="8"/>
  <c r="F404" i="8"/>
  <c r="H404" i="8"/>
  <c r="I1231" i="8"/>
  <c r="F1231" i="8"/>
  <c r="H1231" i="8"/>
  <c r="H632" i="8"/>
  <c r="I632" i="8"/>
  <c r="F632" i="8"/>
  <c r="H466" i="8"/>
  <c r="I466" i="8"/>
  <c r="F466" i="8"/>
  <c r="H1063" i="8"/>
  <c r="I1063" i="8" s="1"/>
  <c r="F1063" i="8"/>
  <c r="F1002" i="8"/>
  <c r="H1002" i="8"/>
  <c r="I1002" i="8"/>
  <c r="F799" i="8"/>
  <c r="H799" i="8"/>
  <c r="I799" i="8"/>
  <c r="H72" i="8"/>
  <c r="I72" i="8"/>
  <c r="F72" i="8"/>
  <c r="F1008" i="8"/>
  <c r="H1008" i="8"/>
  <c r="I1008" i="8"/>
  <c r="H678" i="8"/>
  <c r="I678" i="8"/>
  <c r="F678" i="8"/>
  <c r="I630" i="8"/>
  <c r="F630" i="8"/>
  <c r="H630" i="8"/>
  <c r="H590" i="8"/>
  <c r="I590" i="8"/>
  <c r="F590" i="8"/>
  <c r="I456" i="8"/>
  <c r="F456" i="8"/>
  <c r="H456" i="8"/>
  <c r="I1209" i="8"/>
  <c r="F1209" i="8"/>
  <c r="H1209" i="8"/>
  <c r="H460" i="8"/>
  <c r="I460" i="8"/>
  <c r="F460" i="8"/>
  <c r="I412" i="8"/>
  <c r="F412" i="8"/>
  <c r="H412" i="8"/>
  <c r="H684" i="8"/>
  <c r="I684" i="8"/>
  <c r="F684" i="8"/>
  <c r="H668" i="8"/>
  <c r="I668" i="8"/>
  <c r="F668" i="8"/>
  <c r="H652" i="8"/>
  <c r="I652" i="8"/>
  <c r="F652" i="8"/>
  <c r="H636" i="8"/>
  <c r="I636" i="8"/>
  <c r="F636" i="8"/>
  <c r="I620" i="8"/>
  <c r="H620" i="8"/>
  <c r="F620" i="8"/>
  <c r="I604" i="8"/>
  <c r="H604" i="8"/>
  <c r="F604" i="8"/>
  <c r="H552" i="8"/>
  <c r="I552" i="8"/>
  <c r="F552" i="8"/>
  <c r="H528" i="8"/>
  <c r="I528" i="8"/>
  <c r="F528" i="8"/>
  <c r="I438" i="8"/>
  <c r="F438" i="8"/>
  <c r="H438" i="8"/>
  <c r="H357" i="8"/>
  <c r="I357" i="8" s="1"/>
  <c r="F357" i="8"/>
  <c r="I1207" i="8"/>
  <c r="F1207" i="8"/>
  <c r="H1207" i="8"/>
  <c r="I434" i="8"/>
  <c r="F434" i="8"/>
  <c r="H434" i="8"/>
  <c r="I394" i="8"/>
  <c r="F394" i="8"/>
  <c r="H394" i="8"/>
  <c r="H650" i="8"/>
  <c r="I650" i="8"/>
  <c r="F650" i="8"/>
  <c r="I618" i="8"/>
  <c r="F618" i="8"/>
  <c r="H618" i="8"/>
  <c r="H548" i="8"/>
  <c r="I548" i="8"/>
  <c r="F548" i="8"/>
  <c r="H516" i="8"/>
  <c r="I516" i="8"/>
  <c r="F516" i="8"/>
  <c r="H492" i="8"/>
  <c r="I492" i="8"/>
  <c r="F492" i="8"/>
  <c r="H766" i="8"/>
  <c r="F766" i="8"/>
  <c r="I766" i="8"/>
  <c r="F753" i="8"/>
  <c r="H753" i="8"/>
  <c r="I753" i="8"/>
  <c r="H554" i="8"/>
  <c r="I554" i="8"/>
  <c r="F554" i="8"/>
  <c r="H522" i="8"/>
  <c r="I522" i="8"/>
  <c r="F522" i="8"/>
  <c r="H734" i="8"/>
  <c r="I734" i="8"/>
  <c r="F734" i="8"/>
  <c r="H742" i="8"/>
  <c r="I742" i="8"/>
  <c r="F742" i="8"/>
  <c r="I57" i="8"/>
  <c r="F57" i="8"/>
  <c r="H57" i="8"/>
  <c r="H407" i="8"/>
  <c r="I407" i="8"/>
  <c r="F407" i="8"/>
  <c r="F689" i="8"/>
  <c r="H689" i="8"/>
  <c r="I689" i="8"/>
  <c r="I430" i="8"/>
  <c r="H430" i="8"/>
  <c r="F430" i="8"/>
  <c r="I414" i="8"/>
  <c r="F414" i="8"/>
  <c r="H414" i="8"/>
  <c r="I398" i="8"/>
  <c r="F398" i="8"/>
  <c r="H398" i="8"/>
  <c r="F296" i="8"/>
  <c r="H296" i="8"/>
  <c r="I296" i="8" s="1"/>
  <c r="H694" i="8"/>
  <c r="I694" i="8"/>
  <c r="F694" i="8"/>
  <c r="F954" i="8"/>
  <c r="H954" i="8"/>
  <c r="I954" i="8"/>
  <c r="H682" i="8"/>
  <c r="I682" i="8"/>
  <c r="F682" i="8"/>
  <c r="H526" i="8"/>
  <c r="I526" i="8"/>
  <c r="F526" i="8"/>
  <c r="I1224" i="8"/>
  <c r="F1224" i="8"/>
  <c r="H1224" i="8"/>
  <c r="H656" i="8"/>
  <c r="I656" i="8"/>
  <c r="F656" i="8"/>
  <c r="F835" i="8"/>
  <c r="H835" i="8"/>
  <c r="I835" i="8"/>
  <c r="H518" i="8"/>
  <c r="I518" i="8"/>
  <c r="F518" i="8"/>
  <c r="I444" i="8"/>
  <c r="F444" i="8"/>
  <c r="H444" i="8"/>
  <c r="I388" i="8"/>
  <c r="F388" i="8"/>
  <c r="H388" i="8"/>
  <c r="H680" i="8"/>
  <c r="I680" i="8"/>
  <c r="F680" i="8"/>
  <c r="I608" i="8"/>
  <c r="H608" i="8"/>
  <c r="F608" i="8"/>
  <c r="H556" i="8"/>
  <c r="I556" i="8"/>
  <c r="F556" i="8"/>
  <c r="H524" i="8"/>
  <c r="I524" i="8"/>
  <c r="F524" i="8"/>
  <c r="F681" i="8"/>
  <c r="H681" i="8"/>
  <c r="I681" i="8"/>
  <c r="H1021" i="8"/>
  <c r="I1021" i="8"/>
  <c r="F1021" i="8"/>
  <c r="H654" i="8"/>
  <c r="I654" i="8"/>
  <c r="F654" i="8"/>
  <c r="H562" i="8"/>
  <c r="I562" i="8"/>
  <c r="F562" i="8"/>
  <c r="H530" i="8"/>
  <c r="I530" i="8"/>
  <c r="F530" i="8"/>
  <c r="H498" i="8"/>
  <c r="I498" i="8"/>
  <c r="F498" i="8"/>
  <c r="I432" i="8"/>
  <c r="H432" i="8"/>
  <c r="F432" i="8"/>
  <c r="I416" i="8"/>
  <c r="F416" i="8"/>
  <c r="H416" i="8"/>
  <c r="I400" i="8"/>
  <c r="F400" i="8"/>
  <c r="H400" i="8"/>
  <c r="I170" i="8"/>
  <c r="F170" i="8"/>
  <c r="H170" i="8"/>
  <c r="F1050" i="8"/>
  <c r="H1050" i="8"/>
  <c r="I1050" i="8"/>
  <c r="H534" i="8"/>
  <c r="I534" i="8"/>
  <c r="F534" i="8"/>
  <c r="F815" i="8"/>
  <c r="H815" i="8"/>
  <c r="I815" i="8"/>
  <c r="H1043" i="8"/>
  <c r="I1043" i="8"/>
  <c r="F1043" i="8"/>
  <c r="H824" i="8"/>
  <c r="I824" i="8"/>
  <c r="F824" i="8"/>
  <c r="H808" i="8"/>
  <c r="I808" i="8"/>
  <c r="F808" i="8"/>
  <c r="H560" i="8"/>
  <c r="I560" i="8"/>
  <c r="F560" i="8"/>
  <c r="I454" i="8"/>
  <c r="F454" i="8"/>
  <c r="H454" i="8"/>
  <c r="H770" i="8"/>
  <c r="I770" i="8"/>
  <c r="F770" i="8"/>
  <c r="F803" i="8"/>
  <c r="H803" i="8"/>
  <c r="I803" i="8"/>
  <c r="F805" i="8"/>
  <c r="H805" i="8"/>
  <c r="I805" i="8"/>
  <c r="J94" i="5"/>
  <c r="E24" i="8" s="1"/>
  <c r="J79" i="5"/>
  <c r="E21" i="8" s="1"/>
  <c r="J2499" i="5"/>
  <c r="E716" i="8" s="1"/>
  <c r="J122" i="5"/>
  <c r="E30" i="8" s="1"/>
  <c r="J1911" i="5"/>
  <c r="E316" i="8" s="1"/>
  <c r="J220" i="5"/>
  <c r="J654" i="5"/>
  <c r="E124" i="8" s="1"/>
  <c r="J1810" i="5"/>
  <c r="E299" i="8" s="1"/>
  <c r="J61" i="5"/>
  <c r="J184" i="5"/>
  <c r="J3400" i="5"/>
  <c r="E992" i="8" s="1"/>
  <c r="J3143" i="5"/>
  <c r="J821" i="5"/>
  <c r="E154" i="8" s="1"/>
  <c r="J3382" i="5"/>
  <c r="E988" i="8" s="1"/>
  <c r="J155" i="5"/>
  <c r="J2487" i="5"/>
  <c r="E714" i="8" s="1"/>
  <c r="J3190" i="5"/>
  <c r="E962" i="8" s="1"/>
  <c r="J3789" i="5"/>
  <c r="E1107" i="8" s="1"/>
  <c r="J3160" i="5"/>
  <c r="J162" i="5"/>
  <c r="J150" i="5"/>
  <c r="J99" i="5"/>
  <c r="E25" i="8" s="1"/>
  <c r="J2505" i="5"/>
  <c r="E717" i="8" s="1"/>
  <c r="J180" i="5"/>
  <c r="E42" i="8" s="1"/>
  <c r="J198" i="5"/>
  <c r="E45" i="8" s="1"/>
  <c r="J202" i="5"/>
  <c r="E46" i="8" s="1"/>
  <c r="J658" i="5"/>
  <c r="E125" i="8" s="1"/>
  <c r="J35" i="5"/>
  <c r="E12" i="8" s="1"/>
  <c r="J176" i="5"/>
  <c r="E41" i="8" s="1"/>
  <c r="J897" i="5"/>
  <c r="E166" i="8" s="1"/>
  <c r="J136" i="5"/>
  <c r="E33" i="8" s="1"/>
  <c r="J646" i="5"/>
  <c r="E122" i="8" s="1"/>
  <c r="J127" i="5"/>
  <c r="E31" i="8" s="1"/>
  <c r="J817" i="5"/>
  <c r="J1126" i="5"/>
  <c r="J3117" i="5"/>
  <c r="E947" i="8" s="1"/>
  <c r="J39" i="5"/>
  <c r="J108" i="5"/>
  <c r="E27" i="8" s="1"/>
  <c r="J215" i="5"/>
  <c r="E49" i="8" s="1"/>
  <c r="J49" i="5"/>
  <c r="J145" i="5"/>
  <c r="E35" i="8" s="1"/>
  <c r="J650" i="5"/>
  <c r="E123" i="8" s="1"/>
  <c r="J44" i="5"/>
  <c r="J211" i="5"/>
  <c r="E48" i="8" s="1"/>
  <c r="J118" i="5"/>
  <c r="J84" i="5"/>
  <c r="E22" i="8" s="1"/>
  <c r="J132" i="5"/>
  <c r="E32" i="8" s="1"/>
  <c r="J2511" i="5"/>
  <c r="E718" i="8" s="1"/>
  <c r="J2523" i="5"/>
  <c r="E720" i="8" s="1"/>
  <c r="J225" i="5"/>
  <c r="E51" i="8" s="1"/>
  <c r="J140" i="5"/>
  <c r="J2493" i="5"/>
  <c r="E715" i="8" s="1"/>
  <c r="J2535" i="5"/>
  <c r="E722" i="8" s="1"/>
  <c r="J885" i="5"/>
  <c r="E164" i="8" s="1"/>
  <c r="J1916" i="5"/>
  <c r="E317" i="8" s="1"/>
  <c r="J1906" i="5"/>
  <c r="E315" i="8" s="1"/>
  <c r="J89" i="5"/>
  <c r="E23" i="8" s="1"/>
  <c r="J113" i="5"/>
  <c r="E28" i="8" s="1"/>
  <c r="J12" i="5"/>
  <c r="J167" i="5"/>
  <c r="E39" i="8" s="1"/>
  <c r="J2517" i="5"/>
  <c r="E719" i="8" s="1"/>
  <c r="J2898" i="5"/>
  <c r="J3516" i="5"/>
  <c r="E1046" i="8" s="1"/>
  <c r="J16" i="5"/>
  <c r="E8" i="8" s="1"/>
  <c r="J25" i="5"/>
  <c r="J104" i="5"/>
  <c r="E26" i="8" s="1"/>
  <c r="J66" i="5"/>
  <c r="J206" i="5"/>
  <c r="E47" i="8" s="1"/>
  <c r="J8" i="5"/>
  <c r="J172" i="5"/>
  <c r="E40" i="8" s="1"/>
  <c r="E6" i="8" l="1"/>
  <c r="E913" i="8"/>
  <c r="E153" i="8"/>
  <c r="E43" i="8"/>
  <c r="E7" i="8"/>
  <c r="E37" i="8"/>
  <c r="E18" i="8"/>
  <c r="E29" i="8"/>
  <c r="E13" i="8"/>
  <c r="E36" i="8"/>
  <c r="E17" i="8"/>
  <c r="E34" i="8"/>
  <c r="E14" i="8"/>
  <c r="E201" i="8"/>
  <c r="E957" i="8"/>
  <c r="E10" i="8"/>
  <c r="E15" i="8"/>
  <c r="E38" i="8"/>
  <c r="E952" i="8"/>
  <c r="E377" i="8"/>
  <c r="E50" i="8"/>
  <c r="E924" i="8"/>
  <c r="I769" i="8"/>
  <c r="H769" i="8"/>
  <c r="F769" i="8"/>
  <c r="F63" i="8"/>
  <c r="H63" i="8"/>
  <c r="I63" i="8" s="1"/>
  <c r="H403" i="8"/>
  <c r="I403" i="8"/>
  <c r="F403" i="8"/>
  <c r="I589" i="8"/>
  <c r="F589" i="8"/>
  <c r="H589" i="8"/>
  <c r="H1089" i="8"/>
  <c r="I1089" i="8"/>
  <c r="F1089" i="8"/>
  <c r="I1232" i="8"/>
  <c r="F1232" i="8"/>
  <c r="H1232" i="8"/>
  <c r="I491" i="8"/>
  <c r="F491" i="8"/>
  <c r="H491" i="8"/>
  <c r="I451" i="8"/>
  <c r="F451" i="8"/>
  <c r="H451" i="8"/>
  <c r="H1045" i="8"/>
  <c r="I1045" i="8"/>
  <c r="F1045" i="8"/>
  <c r="F693" i="8"/>
  <c r="H693" i="8"/>
  <c r="I693" i="8"/>
  <c r="F71" i="8"/>
  <c r="H71" i="8"/>
  <c r="I71" i="8" s="1"/>
  <c r="H830" i="8"/>
  <c r="I830" i="8"/>
  <c r="F830" i="8"/>
  <c r="H167" i="8"/>
  <c r="I167" i="8" s="1"/>
  <c r="F167" i="8"/>
  <c r="I481" i="8"/>
  <c r="F481" i="8"/>
  <c r="H481" i="8"/>
  <c r="I69" i="8"/>
  <c r="F69" i="8"/>
  <c r="H69" i="8"/>
  <c r="I487" i="8"/>
  <c r="F487" i="8"/>
  <c r="H487" i="8"/>
  <c r="F1010" i="8"/>
  <c r="H1010" i="8"/>
  <c r="I1010" i="8"/>
  <c r="I517" i="8"/>
  <c r="F517" i="8"/>
  <c r="H517" i="8"/>
  <c r="H613" i="8"/>
  <c r="I613" i="8"/>
  <c r="F613" i="8"/>
  <c r="F793" i="8"/>
  <c r="H793" i="8"/>
  <c r="I793" i="8"/>
  <c r="F677" i="8"/>
  <c r="H677" i="8"/>
  <c r="I677" i="8"/>
  <c r="H688" i="8"/>
  <c r="I688" i="8"/>
  <c r="F688" i="8"/>
  <c r="H804" i="8"/>
  <c r="I804" i="8"/>
  <c r="F804" i="8"/>
  <c r="H816" i="8"/>
  <c r="I816" i="8"/>
  <c r="F816" i="8"/>
  <c r="F809" i="8"/>
  <c r="H809" i="8"/>
  <c r="I809" i="8"/>
  <c r="I1195" i="8"/>
  <c r="F1195" i="8"/>
  <c r="H1195" i="8"/>
  <c r="F649" i="8"/>
  <c r="H649" i="8"/>
  <c r="I649" i="8"/>
  <c r="I1218" i="8"/>
  <c r="F1218" i="8"/>
  <c r="H1218" i="8"/>
  <c r="F761" i="8"/>
  <c r="I761" i="8"/>
  <c r="H761" i="8"/>
  <c r="F665" i="8"/>
  <c r="H665" i="8"/>
  <c r="I665" i="8"/>
  <c r="I1208" i="8"/>
  <c r="F1208" i="8"/>
  <c r="H1208" i="8"/>
  <c r="H750" i="8"/>
  <c r="I750" i="8"/>
  <c r="F750" i="8"/>
  <c r="H736" i="8"/>
  <c r="I736" i="8"/>
  <c r="F736" i="8"/>
  <c r="I1235" i="8"/>
  <c r="F1235" i="8"/>
  <c r="H1235" i="8"/>
  <c r="H387" i="8"/>
  <c r="I387" i="8"/>
  <c r="F387" i="8"/>
  <c r="I545" i="8"/>
  <c r="F545" i="8"/>
  <c r="H545" i="8"/>
  <c r="F843" i="8"/>
  <c r="H843" i="8"/>
  <c r="I843" i="8"/>
  <c r="I527" i="8"/>
  <c r="F527" i="8"/>
  <c r="H527" i="8"/>
  <c r="F141" i="8"/>
  <c r="H141" i="8"/>
  <c r="I141" i="8" s="1"/>
  <c r="F647" i="8"/>
  <c r="H647" i="8"/>
  <c r="I647" i="8"/>
  <c r="I77" i="8"/>
  <c r="F77" i="8"/>
  <c r="H77" i="8"/>
  <c r="I555" i="8"/>
  <c r="F555" i="8"/>
  <c r="H555" i="8"/>
  <c r="H599" i="8"/>
  <c r="I599" i="8"/>
  <c r="F599" i="8"/>
  <c r="I539" i="8"/>
  <c r="F539" i="8"/>
  <c r="H539" i="8"/>
  <c r="I567" i="8"/>
  <c r="F567" i="8"/>
  <c r="H567" i="8"/>
  <c r="I611" i="8"/>
  <c r="F611" i="8"/>
  <c r="H611" i="8"/>
  <c r="F651" i="8"/>
  <c r="H651" i="8"/>
  <c r="I651" i="8"/>
  <c r="F667" i="8"/>
  <c r="H667" i="8"/>
  <c r="I667" i="8"/>
  <c r="F683" i="8"/>
  <c r="H683" i="8"/>
  <c r="I683" i="8"/>
  <c r="I587" i="8"/>
  <c r="F587" i="8"/>
  <c r="H587" i="8"/>
  <c r="I607" i="8"/>
  <c r="F607" i="8"/>
  <c r="H607" i="8"/>
  <c r="I631" i="8"/>
  <c r="F631" i="8"/>
  <c r="H631" i="8"/>
  <c r="I531" i="8"/>
  <c r="F531" i="8"/>
  <c r="H531" i="8"/>
  <c r="I615" i="8"/>
  <c r="F615" i="8"/>
  <c r="H615" i="8"/>
  <c r="F595" i="8"/>
  <c r="H595" i="8"/>
  <c r="I595" i="8"/>
  <c r="F635" i="8"/>
  <c r="H635" i="8"/>
  <c r="I635" i="8"/>
  <c r="F655" i="8"/>
  <c r="H655" i="8"/>
  <c r="I655" i="8"/>
  <c r="F671" i="8"/>
  <c r="H671" i="8"/>
  <c r="I671" i="8"/>
  <c r="I441" i="8"/>
  <c r="F441" i="8"/>
  <c r="H441" i="8"/>
  <c r="F749" i="8"/>
  <c r="H749" i="8"/>
  <c r="I749" i="8"/>
  <c r="F701" i="8"/>
  <c r="H701" i="8"/>
  <c r="I701" i="8"/>
  <c r="I1151" i="8"/>
  <c r="H1151" i="8"/>
  <c r="F1151" i="8"/>
  <c r="I445" i="8"/>
  <c r="F445" i="8"/>
  <c r="H445" i="8"/>
  <c r="I433" i="8"/>
  <c r="F433" i="8"/>
  <c r="H433" i="8"/>
  <c r="H421" i="8"/>
  <c r="I421" i="8"/>
  <c r="F421" i="8"/>
  <c r="H1091" i="8"/>
  <c r="I1091" i="8" s="1"/>
  <c r="F1091" i="8"/>
  <c r="H401" i="8"/>
  <c r="I401" i="8"/>
  <c r="F401" i="8"/>
  <c r="H744" i="8"/>
  <c r="I744" i="8"/>
  <c r="F744" i="8"/>
  <c r="I457" i="8"/>
  <c r="F457" i="8"/>
  <c r="H457" i="8"/>
  <c r="H704" i="8"/>
  <c r="I704" i="8"/>
  <c r="F704" i="8"/>
  <c r="F1080" i="8"/>
  <c r="H1080" i="8"/>
  <c r="I1080" i="8"/>
  <c r="H1101" i="8"/>
  <c r="I1101" i="8"/>
  <c r="F1101" i="8"/>
  <c r="I529" i="8"/>
  <c r="F529" i="8"/>
  <c r="H529" i="8"/>
  <c r="I1204" i="8"/>
  <c r="F1204" i="8"/>
  <c r="H1204" i="8"/>
  <c r="I455" i="8"/>
  <c r="F455" i="8"/>
  <c r="H455" i="8"/>
  <c r="I469" i="8"/>
  <c r="F469" i="8"/>
  <c r="H469" i="8"/>
  <c r="F817" i="8"/>
  <c r="H817" i="8"/>
  <c r="I817" i="8"/>
  <c r="I537" i="8"/>
  <c r="F537" i="8"/>
  <c r="H537" i="8"/>
  <c r="H692" i="8"/>
  <c r="I692" i="8"/>
  <c r="F692" i="8"/>
  <c r="H601" i="8"/>
  <c r="I601" i="8"/>
  <c r="F601" i="8"/>
  <c r="I1223" i="8"/>
  <c r="F1223" i="8"/>
  <c r="H1223" i="8"/>
  <c r="I55" i="8"/>
  <c r="F55" i="8"/>
  <c r="H55" i="8"/>
  <c r="H621" i="8"/>
  <c r="I621" i="8"/>
  <c r="F621" i="8"/>
  <c r="F847" i="8"/>
  <c r="H847" i="8"/>
  <c r="I847" i="8"/>
  <c r="I1216" i="8"/>
  <c r="F1216" i="8"/>
  <c r="H1216" i="8"/>
  <c r="H826" i="8"/>
  <c r="I826" i="8"/>
  <c r="F826" i="8"/>
  <c r="I493" i="8"/>
  <c r="F493" i="8"/>
  <c r="H493" i="8"/>
  <c r="H788" i="8"/>
  <c r="I788" i="8"/>
  <c r="F788" i="8"/>
  <c r="F787" i="8"/>
  <c r="H787" i="8"/>
  <c r="I787" i="8"/>
  <c r="I511" i="8"/>
  <c r="F511" i="8"/>
  <c r="H511" i="8"/>
  <c r="F1090" i="8"/>
  <c r="H1090" i="8"/>
  <c r="I1090" i="8"/>
  <c r="I1203" i="8"/>
  <c r="F1203" i="8"/>
  <c r="H1203" i="8"/>
  <c r="H629" i="8"/>
  <c r="I629" i="8"/>
  <c r="F629" i="8"/>
  <c r="I1227" i="8"/>
  <c r="F1227" i="8"/>
  <c r="H1227" i="8"/>
  <c r="H810" i="8"/>
  <c r="I810" i="8"/>
  <c r="F810" i="8"/>
  <c r="I501" i="8"/>
  <c r="F501" i="8"/>
  <c r="H501" i="8"/>
  <c r="I505" i="8"/>
  <c r="F505" i="8"/>
  <c r="H505" i="8"/>
  <c r="I768" i="8"/>
  <c r="F768" i="8"/>
  <c r="H768" i="8"/>
  <c r="H696" i="8"/>
  <c r="I696" i="8"/>
  <c r="F696" i="8"/>
  <c r="H746" i="8"/>
  <c r="I746" i="8"/>
  <c r="F746" i="8"/>
  <c r="H686" i="8"/>
  <c r="I686" i="8"/>
  <c r="F686" i="8"/>
  <c r="F661" i="8"/>
  <c r="H661" i="8"/>
  <c r="I661" i="8"/>
  <c r="I1214" i="8"/>
  <c r="F1214" i="8"/>
  <c r="H1214" i="8"/>
  <c r="H295" i="8"/>
  <c r="I295" i="8" s="1"/>
  <c r="F295" i="8"/>
  <c r="H411" i="8"/>
  <c r="I411" i="8"/>
  <c r="F411" i="8"/>
  <c r="H609" i="8"/>
  <c r="I609" i="8"/>
  <c r="F609" i="8"/>
  <c r="I507" i="8"/>
  <c r="F507" i="8"/>
  <c r="H507" i="8"/>
  <c r="F637" i="8"/>
  <c r="H637" i="8"/>
  <c r="I637" i="8"/>
  <c r="F669" i="8"/>
  <c r="H669" i="8"/>
  <c r="I669" i="8"/>
  <c r="F1096" i="8"/>
  <c r="H1096" i="8"/>
  <c r="I1096" i="8"/>
  <c r="I1222" i="8"/>
  <c r="F1222" i="8"/>
  <c r="H1222" i="8"/>
  <c r="F950" i="8"/>
  <c r="H950" i="8"/>
  <c r="I950" i="8"/>
  <c r="F827" i="8"/>
  <c r="H827" i="8"/>
  <c r="I827" i="8"/>
  <c r="H169" i="8"/>
  <c r="I169" i="8"/>
  <c r="F169" i="8"/>
  <c r="H419" i="8"/>
  <c r="I419" i="8"/>
  <c r="F419" i="8"/>
  <c r="I449" i="8"/>
  <c r="F449" i="8"/>
  <c r="H449" i="8"/>
  <c r="F741" i="8"/>
  <c r="H741" i="8"/>
  <c r="I741" i="8"/>
  <c r="I1188" i="8"/>
  <c r="F1188" i="8"/>
  <c r="H1188" i="8"/>
  <c r="F745" i="8"/>
  <c r="H745" i="8"/>
  <c r="I745" i="8"/>
  <c r="I561" i="8"/>
  <c r="F561" i="8"/>
  <c r="H561" i="8"/>
  <c r="H732" i="8"/>
  <c r="I732" i="8"/>
  <c r="F732" i="8"/>
  <c r="I499" i="8"/>
  <c r="F499" i="8"/>
  <c r="H499" i="8"/>
  <c r="F673" i="8"/>
  <c r="H673" i="8"/>
  <c r="I673" i="8"/>
  <c r="I427" i="8"/>
  <c r="F427" i="8"/>
  <c r="H427" i="8"/>
  <c r="I459" i="8"/>
  <c r="H459" i="8"/>
  <c r="F459" i="8"/>
  <c r="H1027" i="8"/>
  <c r="I1027" i="8"/>
  <c r="F1027" i="8"/>
  <c r="H1033" i="8"/>
  <c r="I1033" i="8"/>
  <c r="F1033" i="8"/>
  <c r="H1001" i="8"/>
  <c r="I1001" i="8"/>
  <c r="F1001" i="8"/>
  <c r="H834" i="8"/>
  <c r="I834" i="8"/>
  <c r="F834" i="8"/>
  <c r="F773" i="8"/>
  <c r="H773" i="8"/>
  <c r="I773" i="8"/>
  <c r="F1056" i="8"/>
  <c r="H1056" i="8"/>
  <c r="I1056" i="8"/>
  <c r="F1052" i="8"/>
  <c r="H1052" i="8"/>
  <c r="I1052" i="8"/>
  <c r="H754" i="8"/>
  <c r="I754" i="8"/>
  <c r="F754" i="8"/>
  <c r="H848" i="8"/>
  <c r="I848" i="8"/>
  <c r="F848" i="8"/>
  <c r="I503" i="8"/>
  <c r="F503" i="8"/>
  <c r="H503" i="8"/>
  <c r="I1225" i="8"/>
  <c r="F1225" i="8"/>
  <c r="H1225" i="8"/>
  <c r="I1191" i="8"/>
  <c r="F1191" i="8"/>
  <c r="H1191" i="8"/>
  <c r="I1229" i="8"/>
  <c r="F1229" i="8"/>
  <c r="H1229" i="8"/>
  <c r="I509" i="8"/>
  <c r="F509" i="8"/>
  <c r="H509" i="8"/>
  <c r="I1199" i="8"/>
  <c r="F1199" i="8"/>
  <c r="H1199" i="8"/>
  <c r="H617" i="8"/>
  <c r="I617" i="8"/>
  <c r="F617" i="8"/>
  <c r="I549" i="8"/>
  <c r="F549" i="8"/>
  <c r="H549" i="8"/>
  <c r="H708" i="8"/>
  <c r="I708" i="8"/>
  <c r="F708" i="8"/>
  <c r="H1011" i="8"/>
  <c r="I1011" i="8"/>
  <c r="F1011" i="8"/>
  <c r="I461" i="8"/>
  <c r="F461" i="8"/>
  <c r="H461" i="8"/>
  <c r="F729" i="8"/>
  <c r="H729" i="8"/>
  <c r="I729" i="8"/>
  <c r="F1233" i="8"/>
  <c r="H1233" i="8"/>
  <c r="I1233" i="8" s="1"/>
  <c r="H814" i="8"/>
  <c r="I814" i="8"/>
  <c r="F814" i="8"/>
  <c r="I485" i="8"/>
  <c r="F485" i="8"/>
  <c r="H485" i="8"/>
  <c r="I1239" i="8"/>
  <c r="F1239" i="8"/>
  <c r="H1239" i="8"/>
  <c r="H730" i="8"/>
  <c r="I730" i="8"/>
  <c r="F730" i="8"/>
  <c r="F1020" i="8"/>
  <c r="H1020" i="8"/>
  <c r="I1020" i="8"/>
  <c r="F777" i="8"/>
  <c r="H777" i="8"/>
  <c r="I777" i="8"/>
  <c r="F1030" i="8"/>
  <c r="H1030" i="8"/>
  <c r="I1030" i="8"/>
  <c r="H806" i="8"/>
  <c r="I806" i="8"/>
  <c r="F806" i="8"/>
  <c r="F1038" i="8"/>
  <c r="H1038" i="8"/>
  <c r="I1038" i="8"/>
  <c r="F1032" i="8"/>
  <c r="H1032" i="8"/>
  <c r="I1032" i="8"/>
  <c r="H790" i="8"/>
  <c r="I790" i="8"/>
  <c r="F790" i="8"/>
  <c r="F1048" i="8"/>
  <c r="H1048" i="8"/>
  <c r="I1048" i="8"/>
  <c r="F1012" i="8"/>
  <c r="H1012" i="8"/>
  <c r="I1012" i="8"/>
  <c r="H794" i="8"/>
  <c r="I794" i="8"/>
  <c r="F794" i="8"/>
  <c r="F990" i="8"/>
  <c r="H990" i="8"/>
  <c r="I990" i="8"/>
  <c r="F998" i="8"/>
  <c r="H998" i="8"/>
  <c r="I998" i="8"/>
  <c r="H842" i="8"/>
  <c r="I842" i="8"/>
  <c r="F842" i="8"/>
  <c r="F825" i="8"/>
  <c r="H825" i="8"/>
  <c r="I825" i="8"/>
  <c r="F1040" i="8"/>
  <c r="H1040" i="8"/>
  <c r="I1040" i="8"/>
  <c r="F1054" i="8"/>
  <c r="H1054" i="8"/>
  <c r="I1054" i="8"/>
  <c r="H792" i="8"/>
  <c r="I792" i="8"/>
  <c r="F792" i="8"/>
  <c r="I1196" i="8"/>
  <c r="F1196" i="8"/>
  <c r="H1196" i="8"/>
  <c r="I515" i="8"/>
  <c r="F515" i="8"/>
  <c r="H515" i="8"/>
  <c r="I1206" i="8"/>
  <c r="F1206" i="8"/>
  <c r="H1206" i="8"/>
  <c r="I1194" i="8"/>
  <c r="F1194" i="8"/>
  <c r="H1194" i="8"/>
  <c r="I435" i="8"/>
  <c r="F435" i="8"/>
  <c r="H435" i="8"/>
  <c r="I467" i="8"/>
  <c r="F467" i="8"/>
  <c r="H467" i="8"/>
  <c r="H786" i="8"/>
  <c r="I786" i="8"/>
  <c r="F786" i="8"/>
  <c r="I465" i="8"/>
  <c r="F465" i="8"/>
  <c r="H465" i="8"/>
  <c r="F757" i="8"/>
  <c r="H757" i="8"/>
  <c r="I757" i="8"/>
  <c r="I497" i="8"/>
  <c r="F497" i="8"/>
  <c r="H497" i="8"/>
  <c r="F801" i="8"/>
  <c r="H801" i="8"/>
  <c r="I801" i="8"/>
  <c r="H752" i="8"/>
  <c r="I752" i="8"/>
  <c r="F752" i="8"/>
  <c r="I479" i="8"/>
  <c r="F479" i="8"/>
  <c r="H479" i="8"/>
  <c r="I471" i="8"/>
  <c r="F471" i="8"/>
  <c r="H471" i="8"/>
  <c r="F944" i="8"/>
  <c r="H944" i="8"/>
  <c r="I944" i="8"/>
  <c r="H836" i="8"/>
  <c r="I836" i="8"/>
  <c r="F836" i="8"/>
  <c r="H772" i="8"/>
  <c r="I772" i="8"/>
  <c r="F772" i="8"/>
  <c r="F709" i="8"/>
  <c r="H709" i="8"/>
  <c r="I709" i="8"/>
  <c r="F1024" i="8"/>
  <c r="H1024" i="8"/>
  <c r="I1024" i="8"/>
  <c r="H820" i="8"/>
  <c r="I820" i="8"/>
  <c r="F820" i="8"/>
  <c r="F1022" i="8"/>
  <c r="H1022" i="8"/>
  <c r="I1022" i="8"/>
  <c r="F293" i="8"/>
  <c r="H293" i="8"/>
  <c r="I293" i="8" s="1"/>
  <c r="F65" i="8"/>
  <c r="H65" i="8"/>
  <c r="I65" i="8" s="1"/>
  <c r="H748" i="8"/>
  <c r="I748" i="8"/>
  <c r="F748" i="8"/>
  <c r="I1187" i="8"/>
  <c r="F1187" i="8"/>
  <c r="H1187" i="8"/>
  <c r="I495" i="8"/>
  <c r="F495" i="8"/>
  <c r="H495" i="8"/>
  <c r="I1213" i="8"/>
  <c r="F1213" i="8"/>
  <c r="H1213" i="8"/>
  <c r="F1086" i="8"/>
  <c r="H1086" i="8"/>
  <c r="I1086" i="8"/>
  <c r="F1014" i="8"/>
  <c r="H1014" i="8"/>
  <c r="I1014" i="8"/>
  <c r="I513" i="8"/>
  <c r="F513" i="8"/>
  <c r="H513" i="8"/>
  <c r="I473" i="8"/>
  <c r="F473" i="8"/>
  <c r="H473" i="8"/>
  <c r="H760" i="8"/>
  <c r="I760" i="8"/>
  <c r="F760" i="8"/>
  <c r="I543" i="8"/>
  <c r="F543" i="8"/>
  <c r="H543" i="8"/>
  <c r="I603" i="8"/>
  <c r="F603" i="8"/>
  <c r="H603" i="8"/>
  <c r="I623" i="8"/>
  <c r="F623" i="8"/>
  <c r="H623" i="8"/>
  <c r="I591" i="8"/>
  <c r="F591" i="8"/>
  <c r="H591" i="8"/>
  <c r="I563" i="8"/>
  <c r="F563" i="8"/>
  <c r="H563" i="8"/>
  <c r="F639" i="8"/>
  <c r="H639" i="8"/>
  <c r="I639" i="8"/>
  <c r="F659" i="8"/>
  <c r="H659" i="8"/>
  <c r="I659" i="8"/>
  <c r="F675" i="8"/>
  <c r="H675" i="8"/>
  <c r="I675" i="8"/>
  <c r="F139" i="8"/>
  <c r="H139" i="8"/>
  <c r="I139" i="8" s="1"/>
  <c r="I619" i="8"/>
  <c r="F619" i="8"/>
  <c r="H619" i="8"/>
  <c r="I551" i="8"/>
  <c r="F551" i="8"/>
  <c r="H551" i="8"/>
  <c r="I559" i="8"/>
  <c r="F559" i="8"/>
  <c r="H559" i="8"/>
  <c r="I547" i="8"/>
  <c r="F547" i="8"/>
  <c r="H547" i="8"/>
  <c r="I627" i="8"/>
  <c r="F627" i="8"/>
  <c r="H627" i="8"/>
  <c r="F643" i="8"/>
  <c r="H643" i="8"/>
  <c r="I643" i="8"/>
  <c r="F663" i="8"/>
  <c r="H663" i="8"/>
  <c r="I663" i="8"/>
  <c r="I439" i="8"/>
  <c r="F439" i="8"/>
  <c r="H439" i="8"/>
  <c r="I429" i="8"/>
  <c r="F429" i="8"/>
  <c r="H429" i="8"/>
  <c r="I521" i="8"/>
  <c r="F521" i="8"/>
  <c r="H521" i="8"/>
  <c r="I519" i="8"/>
  <c r="F519" i="8"/>
  <c r="H519" i="8"/>
  <c r="I535" i="8"/>
  <c r="F535" i="8"/>
  <c r="H535" i="8"/>
  <c r="F679" i="8"/>
  <c r="H679" i="8"/>
  <c r="I679" i="8"/>
  <c r="I523" i="8"/>
  <c r="F523" i="8"/>
  <c r="H523" i="8"/>
  <c r="I443" i="8"/>
  <c r="F443" i="8"/>
  <c r="H443" i="8"/>
  <c r="I425" i="8"/>
  <c r="F425" i="8"/>
  <c r="H425" i="8"/>
  <c r="I437" i="8"/>
  <c r="F437" i="8"/>
  <c r="H437" i="8"/>
  <c r="H393" i="8"/>
  <c r="I393" i="8"/>
  <c r="F393" i="8"/>
  <c r="H782" i="8"/>
  <c r="I782" i="8"/>
  <c r="F782" i="8"/>
  <c r="I1217" i="8"/>
  <c r="F1217" i="8"/>
  <c r="H1217" i="8"/>
  <c r="I525" i="8"/>
  <c r="F525" i="8"/>
  <c r="H525" i="8"/>
  <c r="I431" i="8"/>
  <c r="F431" i="8"/>
  <c r="H431" i="8"/>
  <c r="I1193" i="8"/>
  <c r="F1193" i="8"/>
  <c r="H1193" i="8"/>
  <c r="I1230" i="8"/>
  <c r="F1230" i="8"/>
  <c r="H1230" i="8"/>
  <c r="I423" i="8"/>
  <c r="F423" i="8"/>
  <c r="H423" i="8"/>
  <c r="H399" i="8"/>
  <c r="I399" i="8"/>
  <c r="F399" i="8"/>
  <c r="I59" i="8"/>
  <c r="F59" i="8"/>
  <c r="H59" i="8"/>
  <c r="I553" i="8"/>
  <c r="F553" i="8"/>
  <c r="H553" i="8"/>
  <c r="I489" i="8"/>
  <c r="F489" i="8"/>
  <c r="H489" i="8"/>
  <c r="F685" i="8"/>
  <c r="H685" i="8"/>
  <c r="I685" i="8"/>
  <c r="H724" i="8"/>
  <c r="I724" i="8"/>
  <c r="F724" i="8"/>
  <c r="F946" i="8"/>
  <c r="H946" i="8"/>
  <c r="I946" i="8"/>
  <c r="H798" i="8"/>
  <c r="I798" i="8"/>
  <c r="F798" i="8"/>
  <c r="F137" i="8"/>
  <c r="H137" i="8"/>
  <c r="I137" i="8" s="1"/>
  <c r="H776" i="8"/>
  <c r="I776" i="8"/>
  <c r="F776" i="8"/>
  <c r="H844" i="8"/>
  <c r="I844" i="8"/>
  <c r="F844" i="8"/>
  <c r="I565" i="8"/>
  <c r="F565" i="8"/>
  <c r="H565" i="8"/>
  <c r="F725" i="8"/>
  <c r="H725" i="8"/>
  <c r="I725" i="8"/>
  <c r="F1072" i="8"/>
  <c r="H1072" i="8"/>
  <c r="I1072" i="8" s="1"/>
  <c r="I541" i="8"/>
  <c r="F541" i="8"/>
  <c r="H541" i="8"/>
  <c r="H778" i="8"/>
  <c r="I778" i="8"/>
  <c r="F778" i="8"/>
  <c r="H297" i="8"/>
  <c r="I297" i="8" s="1"/>
  <c r="F297" i="8"/>
  <c r="H700" i="8"/>
  <c r="I700" i="8"/>
  <c r="F700" i="8"/>
  <c r="H1053" i="8"/>
  <c r="I1053" i="8"/>
  <c r="F1053" i="8"/>
  <c r="F1026" i="8"/>
  <c r="H1026" i="8"/>
  <c r="I1026" i="8"/>
  <c r="I61" i="8"/>
  <c r="F61" i="8"/>
  <c r="H61" i="8"/>
  <c r="I1210" i="8"/>
  <c r="F1210" i="8"/>
  <c r="H1210" i="8"/>
  <c r="F1084" i="8"/>
  <c r="H1084" i="8"/>
  <c r="I1084" i="8" s="1"/>
  <c r="H712" i="8"/>
  <c r="I712" i="8"/>
  <c r="F712" i="8"/>
  <c r="H846" i="8"/>
  <c r="I846" i="8"/>
  <c r="F846" i="8"/>
  <c r="H728" i="8"/>
  <c r="I728" i="8"/>
  <c r="F728" i="8"/>
  <c r="I1202" i="8"/>
  <c r="F1202" i="8"/>
  <c r="H1202" i="8"/>
  <c r="F1108" i="8"/>
  <c r="H1108" i="8"/>
  <c r="I1108" i="8"/>
  <c r="F291" i="8"/>
  <c r="H291" i="8"/>
  <c r="I291" i="8" s="1"/>
  <c r="F697" i="8"/>
  <c r="H697" i="8"/>
  <c r="I697" i="8"/>
  <c r="F657" i="8"/>
  <c r="H657" i="8"/>
  <c r="I657" i="8"/>
  <c r="I1190" i="8"/>
  <c r="F1190" i="8"/>
  <c r="H1190" i="8"/>
  <c r="I1198" i="8"/>
  <c r="F1198" i="8"/>
  <c r="H1198" i="8"/>
  <c r="H1051" i="8"/>
  <c r="I1051" i="8"/>
  <c r="F1051" i="8"/>
  <c r="I1226" i="8"/>
  <c r="F1226" i="8"/>
  <c r="H1226" i="8"/>
  <c r="H1149" i="8"/>
  <c r="I1149" i="8"/>
  <c r="F1149" i="8"/>
  <c r="I453" i="8"/>
  <c r="F453" i="8"/>
  <c r="H453" i="8"/>
  <c r="I483" i="8"/>
  <c r="F483" i="8"/>
  <c r="H483" i="8"/>
  <c r="H395" i="8"/>
  <c r="I395" i="8"/>
  <c r="F395" i="8"/>
  <c r="F1100" i="8"/>
  <c r="H1100" i="8"/>
  <c r="I1100" i="8"/>
  <c r="F73" i="8"/>
  <c r="H73" i="8"/>
  <c r="I73" i="8" s="1"/>
  <c r="F737" i="8"/>
  <c r="H737" i="8"/>
  <c r="I737" i="8"/>
  <c r="H625" i="8"/>
  <c r="I625" i="8"/>
  <c r="F625" i="8"/>
  <c r="H764" i="8"/>
  <c r="F764" i="8"/>
  <c r="I764" i="8"/>
  <c r="F641" i="8"/>
  <c r="H641" i="8"/>
  <c r="I641" i="8"/>
  <c r="F1104" i="8"/>
  <c r="H1104" i="8"/>
  <c r="I1104" i="8"/>
  <c r="I475" i="8"/>
  <c r="F475" i="8"/>
  <c r="H475" i="8"/>
  <c r="H1061" i="8"/>
  <c r="I1061" i="8"/>
  <c r="F1061" i="8"/>
  <c r="H1009" i="8"/>
  <c r="I1009" i="8"/>
  <c r="F1009" i="8"/>
  <c r="I557" i="8"/>
  <c r="F557" i="8"/>
  <c r="H557" i="8"/>
  <c r="H784" i="8"/>
  <c r="I784" i="8"/>
  <c r="F784" i="8"/>
  <c r="H828" i="8"/>
  <c r="I828" i="8"/>
  <c r="F828" i="8"/>
  <c r="F841" i="8"/>
  <c r="H841" i="8"/>
  <c r="I841" i="8"/>
  <c r="F839" i="8"/>
  <c r="H839" i="8"/>
  <c r="I839" i="8"/>
  <c r="F807" i="8"/>
  <c r="H807" i="8"/>
  <c r="I807" i="8"/>
  <c r="H800" i="8"/>
  <c r="I800" i="8"/>
  <c r="F800" i="8"/>
  <c r="H1037" i="8"/>
  <c r="I1037" i="8"/>
  <c r="F1037" i="8"/>
  <c r="F645" i="8"/>
  <c r="H645" i="8"/>
  <c r="I645" i="8"/>
  <c r="H756" i="8"/>
  <c r="I756" i="8"/>
  <c r="F756" i="8"/>
  <c r="I1221" i="8"/>
  <c r="F1221" i="8"/>
  <c r="H1221" i="8"/>
  <c r="I477" i="8"/>
  <c r="F477" i="8"/>
  <c r="H477" i="8"/>
  <c r="I447" i="8"/>
  <c r="F447" i="8"/>
  <c r="H447" i="8"/>
  <c r="H690" i="8"/>
  <c r="I690" i="8"/>
  <c r="F690" i="8"/>
  <c r="F633" i="8"/>
  <c r="H633" i="8"/>
  <c r="I633" i="8"/>
  <c r="H597" i="8"/>
  <c r="I597" i="8"/>
  <c r="F597" i="8"/>
  <c r="H740" i="8"/>
  <c r="I740" i="8"/>
  <c r="F740" i="8"/>
  <c r="I1219" i="8"/>
  <c r="F1219" i="8"/>
  <c r="H1219" i="8"/>
  <c r="F705" i="8"/>
  <c r="H705" i="8"/>
  <c r="I705" i="8"/>
  <c r="I463" i="8"/>
  <c r="H463" i="8"/>
  <c r="F463" i="8"/>
  <c r="I533" i="8"/>
  <c r="F533" i="8"/>
  <c r="H533" i="8"/>
  <c r="H1049" i="8"/>
  <c r="I1049" i="8"/>
  <c r="F1049" i="8"/>
  <c r="H762" i="8"/>
  <c r="I762" i="8"/>
  <c r="F762" i="8"/>
  <c r="H698" i="8"/>
  <c r="I698" i="8"/>
  <c r="F698" i="8"/>
  <c r="H605" i="8"/>
  <c r="I605" i="8"/>
  <c r="F605" i="8"/>
  <c r="F974" i="8"/>
  <c r="H974" i="8"/>
  <c r="I974" i="8"/>
  <c r="F781" i="8"/>
  <c r="H781" i="8"/>
  <c r="I781" i="8"/>
  <c r="H780" i="8"/>
  <c r="I780" i="8"/>
  <c r="F780" i="8"/>
  <c r="H1003" i="8"/>
  <c r="I1003" i="8"/>
  <c r="F1003" i="8"/>
  <c r="H1025" i="8"/>
  <c r="I1025" i="8"/>
  <c r="F1025" i="8"/>
  <c r="F887" i="8"/>
  <c r="H887" i="8"/>
  <c r="I887" i="8"/>
  <c r="H1007" i="8"/>
  <c r="I1007" i="8"/>
  <c r="F1007" i="8"/>
  <c r="F1062" i="8"/>
  <c r="H1062" i="8"/>
  <c r="I1062" i="8"/>
  <c r="F1004" i="8"/>
  <c r="H1004" i="8"/>
  <c r="I1004" i="8"/>
  <c r="F67" i="8"/>
  <c r="H67" i="8"/>
  <c r="I67" i="8" s="1"/>
  <c r="F653" i="8"/>
  <c r="H653" i="8"/>
  <c r="I653" i="8"/>
  <c r="H838" i="8"/>
  <c r="I838" i="8"/>
  <c r="F838" i="8"/>
  <c r="F823" i="8"/>
  <c r="H823" i="8"/>
  <c r="I823" i="8"/>
  <c r="H822" i="8"/>
  <c r="I822" i="8"/>
  <c r="F822" i="8"/>
  <c r="H796" i="8"/>
  <c r="I796" i="8"/>
  <c r="F796" i="8"/>
  <c r="F1044" i="8"/>
  <c r="H1044" i="8"/>
  <c r="I1044" i="8"/>
  <c r="F968" i="8"/>
  <c r="H968" i="8"/>
  <c r="I968" i="8"/>
  <c r="H853" i="8" l="1"/>
  <c r="I853" i="8" s="1"/>
  <c r="F853" i="8"/>
  <c r="H852" i="8"/>
  <c r="I852" i="8" s="1"/>
  <c r="F852" i="8"/>
  <c r="I4413" i="5" l="1"/>
  <c r="I1972" i="5" l="1"/>
  <c r="I3122" i="5"/>
  <c r="I1598" i="5" l="1"/>
  <c r="I3838" i="5"/>
  <c r="I608" i="5"/>
  <c r="I1836" i="5"/>
  <c r="I4297" i="5"/>
  <c r="I2090" i="5"/>
  <c r="I4417" i="5"/>
  <c r="I1120" i="5"/>
  <c r="I1884" i="5"/>
  <c r="I3669" i="5"/>
  <c r="I2836" i="5"/>
  <c r="I2343" i="5"/>
  <c r="I2894" i="5"/>
  <c r="I1173" i="5"/>
  <c r="I2874" i="5"/>
  <c r="I507" i="5"/>
  <c r="I500" i="5"/>
  <c r="I3883" i="5"/>
  <c r="I1330" i="5"/>
  <c r="I3326" i="5"/>
  <c r="I2774" i="5"/>
  <c r="I767" i="5"/>
  <c r="I2794" i="5"/>
  <c r="I1692" i="5"/>
  <c r="I2220" i="5"/>
  <c r="I3538" i="5"/>
  <c r="I3130" i="5"/>
  <c r="I1015" i="5"/>
  <c r="I694" i="5"/>
  <c r="I1053" i="5"/>
  <c r="I3895" i="5"/>
  <c r="I2314" i="5"/>
  <c r="I1215" i="5"/>
  <c r="I4030" i="5"/>
  <c r="I3108" i="5"/>
  <c r="I662" i="5"/>
  <c r="I4264" i="5"/>
  <c r="I3848" i="5"/>
  <c r="I1435" i="5"/>
  <c r="I1450" i="5"/>
  <c r="I1421" i="5"/>
  <c r="I1579" i="5"/>
  <c r="I4126" i="5"/>
  <c r="I3244" i="5"/>
  <c r="I3282" i="5"/>
  <c r="I3269" i="5"/>
  <c r="I1402" i="5"/>
  <c r="I338" i="5"/>
  <c r="I2584" i="5"/>
  <c r="I1404" i="5"/>
  <c r="I336" i="5"/>
  <c r="I1400" i="5"/>
  <c r="I4071" i="5"/>
  <c r="I3211" i="5"/>
  <c r="I2589" i="5"/>
  <c r="I1688" i="5"/>
  <c r="I1408" i="5"/>
  <c r="I3802" i="5"/>
  <c r="I3625" i="5"/>
  <c r="I3047" i="5"/>
  <c r="I3210" i="5"/>
  <c r="I3349" i="5"/>
  <c r="I2707" i="5"/>
  <c r="I2126" i="5"/>
  <c r="I1576" i="5"/>
  <c r="I1495" i="5"/>
  <c r="I1479" i="5"/>
  <c r="I1581" i="5"/>
  <c r="I1447" i="5"/>
  <c r="I1436" i="5"/>
  <c r="I251" i="5"/>
  <c r="I3619" i="5"/>
  <c r="I3245" i="5"/>
  <c r="I2662" i="5"/>
  <c r="I1828" i="5"/>
  <c r="I1467" i="5"/>
  <c r="I1462" i="5"/>
  <c r="I1417" i="5"/>
  <c r="I1483" i="5"/>
  <c r="I1430" i="5"/>
  <c r="I4356" i="5"/>
  <c r="I4156" i="5"/>
  <c r="I3220" i="5"/>
  <c r="I3040" i="5"/>
  <c r="I1437" i="5"/>
  <c r="I1492" i="5"/>
  <c r="I4355" i="5"/>
  <c r="I1405" i="5"/>
  <c r="I1415" i="5"/>
  <c r="I4069" i="5"/>
  <c r="I4344" i="5"/>
  <c r="I2120" i="5"/>
  <c r="I1406" i="5"/>
  <c r="I4078" i="5"/>
  <c r="I851" i="5"/>
  <c r="I4124" i="5"/>
  <c r="I3335" i="5"/>
  <c r="I1460" i="5"/>
  <c r="I3964" i="5"/>
  <c r="I3857" i="5"/>
  <c r="I3348" i="5"/>
  <c r="I1759" i="5"/>
  <c r="I1687" i="5"/>
  <c r="I1422" i="5" l="1"/>
  <c r="I1902" i="5"/>
  <c r="I1896" i="5"/>
  <c r="I4157" i="5"/>
  <c r="I1423" i="5"/>
  <c r="I4079" i="5"/>
  <c r="I2184" i="5"/>
  <c r="I1503" i="5"/>
  <c r="I1480" i="5"/>
  <c r="I330" i="5"/>
  <c r="I2594" i="5"/>
  <c r="I1407" i="5"/>
  <c r="I1575" i="5"/>
  <c r="I2727" i="5"/>
  <c r="I4070" i="5"/>
  <c r="I1535" i="5"/>
  <c r="I2176" i="5"/>
  <c r="I1527" i="5"/>
  <c r="I3965" i="5"/>
  <c r="I4087" i="5"/>
  <c r="I3075" i="5"/>
  <c r="I3082" i="5"/>
  <c r="I1519" i="5"/>
  <c r="I2747" i="5"/>
  <c r="I337" i="5"/>
  <c r="I358" i="5"/>
  <c r="I333" i="5"/>
  <c r="I1451" i="5"/>
  <c r="I1468" i="5"/>
  <c r="I1494" i="5"/>
  <c r="I1482" i="5"/>
  <c r="I1496" i="5"/>
  <c r="I4086" i="5"/>
  <c r="I2756" i="5"/>
  <c r="I2192" i="5"/>
  <c r="I3068" i="5"/>
  <c r="I1481" i="5"/>
  <c r="I339" i="5"/>
  <c r="I1445" i="5"/>
  <c r="I1477" i="5"/>
  <c r="I2445" i="5"/>
  <c r="I4088" i="5"/>
  <c r="I3304" i="5"/>
  <c r="I1490" i="5"/>
  <c r="I1438" i="5"/>
  <c r="I3459" i="5"/>
  <c r="I1464" i="5"/>
  <c r="I3283" i="5"/>
  <c r="I3305" i="5"/>
  <c r="I1466" i="5"/>
  <c r="I1432" i="5"/>
  <c r="I1449" i="5"/>
  <c r="I1498" i="5"/>
  <c r="I1497" i="5"/>
  <c r="I1453" i="5"/>
  <c r="I2636" i="5"/>
  <c r="I1465" i="5"/>
  <c r="I2579" i="5"/>
  <c r="I4357" i="5"/>
  <c r="I2752" i="5"/>
  <c r="I2742" i="5"/>
  <c r="I1420" i="5"/>
  <c r="I2601" i="5"/>
  <c r="I3033" i="5"/>
  <c r="I475" i="5"/>
  <c r="I4305" i="5"/>
  <c r="I4068" i="5"/>
  <c r="I3316" i="5"/>
  <c r="I3858" i="5"/>
  <c r="I4354" i="5"/>
  <c r="I1752" i="5"/>
  <c r="I1452" i="5"/>
  <c r="I4072" i="5"/>
  <c r="I3859" i="5"/>
  <c r="I4080" i="5"/>
  <c r="I1574" i="5"/>
  <c r="I1582" i="5"/>
  <c r="I3221" i="5"/>
  <c r="I1580" i="5"/>
  <c r="I738" i="5"/>
  <c r="I3089" i="5"/>
  <c r="I2732" i="5"/>
  <c r="I1578" i="5"/>
  <c r="I4353" i="5"/>
  <c r="I3865" i="5"/>
  <c r="I1434" i="5"/>
  <c r="I3458" i="5"/>
  <c r="I4125" i="5"/>
  <c r="I1511" i="5"/>
  <c r="I3054" i="5"/>
  <c r="I3061" i="5"/>
  <c r="I1475" i="5"/>
  <c r="I3270" i="5"/>
  <c r="I1419" i="5"/>
  <c r="I1155" i="5"/>
  <c r="I575" i="5"/>
  <c r="I4146" i="5"/>
  <c r="I4031" i="5"/>
  <c r="I4102" i="5"/>
  <c r="I3783" i="5"/>
  <c r="I3178" i="5"/>
  <c r="I4262" i="5"/>
  <c r="I3725" i="5"/>
  <c r="I3195" i="5"/>
  <c r="I1639" i="5"/>
  <c r="I947" i="5"/>
  <c r="I3917" i="5"/>
  <c r="I3870" i="5"/>
  <c r="I3495" i="5"/>
  <c r="I2461" i="5"/>
  <c r="I2930" i="5"/>
  <c r="I2999" i="5"/>
  <c r="I417" i="5"/>
  <c r="I835" i="5"/>
  <c r="I3294" i="5"/>
  <c r="I989" i="5"/>
  <c r="I1788" i="5"/>
  <c r="I541" i="5"/>
  <c r="I766" i="5"/>
  <c r="I865" i="5"/>
  <c r="I404" i="5"/>
  <c r="I880" i="5"/>
  <c r="I3925" i="5"/>
  <c r="I3414" i="5"/>
  <c r="I2845" i="5"/>
  <c r="I1258" i="5"/>
  <c r="I4335" i="5"/>
  <c r="I3755" i="5"/>
  <c r="I3991" i="5"/>
  <c r="I3378" i="5"/>
  <c r="I1998" i="5"/>
  <c r="I609" i="5"/>
  <c r="I2691" i="5"/>
  <c r="I798" i="5"/>
  <c r="I293" i="5"/>
  <c r="I979" i="5"/>
  <c r="I410" i="5"/>
  <c r="I1285" i="5"/>
  <c r="I671" i="5"/>
  <c r="J662" i="5"/>
  <c r="I4384" i="5"/>
  <c r="I4161" i="5"/>
  <c r="I4321" i="5"/>
  <c r="I3727" i="5"/>
  <c r="I3123" i="5"/>
  <c r="I3938" i="5"/>
  <c r="I3109" i="5"/>
  <c r="I1552" i="5"/>
  <c r="I924" i="5"/>
  <c r="I3876" i="5"/>
  <c r="I3388" i="5"/>
  <c r="I2231" i="5"/>
  <c r="I1250" i="5"/>
  <c r="I2957" i="5"/>
  <c r="I666" i="5"/>
  <c r="I813" i="5"/>
  <c r="I343" i="5"/>
  <c r="I1009" i="5"/>
  <c r="I408" i="5"/>
  <c r="I1244" i="5"/>
  <c r="I642" i="5"/>
  <c r="I71" i="5"/>
  <c r="I1174" i="5"/>
  <c r="I2254" i="5"/>
  <c r="I1132" i="5"/>
  <c r="I770" i="5"/>
  <c r="I279" i="5"/>
  <c r="I4231" i="5"/>
  <c r="I4290" i="5"/>
  <c r="I2835" i="5"/>
  <c r="I3971" i="5"/>
  <c r="I2557" i="5"/>
  <c r="I1237" i="5"/>
  <c r="I4249" i="5"/>
  <c r="I3743" i="5"/>
  <c r="I3147" i="5"/>
  <c r="I1558" i="5"/>
  <c r="I2114" i="5"/>
  <c r="I827" i="5"/>
  <c r="I2667" i="5"/>
  <c r="I260" i="5"/>
  <c r="I1068" i="5"/>
  <c r="I4104" i="5"/>
  <c r="I4205" i="5"/>
  <c r="I3998" i="5"/>
  <c r="I3581" i="5"/>
  <c r="I3547" i="5"/>
  <c r="I2982" i="5"/>
  <c r="I3693" i="5"/>
  <c r="I1866" i="5"/>
  <c r="J2314" i="5"/>
  <c r="J1015" i="5"/>
  <c r="E186" i="8" s="1"/>
  <c r="J1692" i="5"/>
  <c r="I4279" i="5"/>
  <c r="I4117" i="5"/>
  <c r="I3445" i="5"/>
  <c r="I3839" i="5"/>
  <c r="I2279" i="5"/>
  <c r="I1139" i="5"/>
  <c r="I602" i="5"/>
  <c r="I2683" i="5"/>
  <c r="I1061" i="5"/>
  <c r="I563" i="5"/>
  <c r="I4287" i="5"/>
  <c r="I2369" i="5"/>
  <c r="I1047" i="5"/>
  <c r="I254" i="5"/>
  <c r="I4200" i="5"/>
  <c r="I4167" i="5"/>
  <c r="I1753" i="5"/>
  <c r="I790" i="5"/>
  <c r="I314" i="5"/>
  <c r="I4035" i="5"/>
  <c r="I3257" i="5"/>
  <c r="I3728" i="5"/>
  <c r="I3258" i="5"/>
  <c r="I981" i="5"/>
  <c r="I3712" i="5"/>
  <c r="I1557" i="5"/>
  <c r="I1970" i="5"/>
  <c r="I1760" i="5"/>
  <c r="I1022" i="5"/>
  <c r="I466" i="5"/>
  <c r="I1194" i="5"/>
  <c r="I698" i="5"/>
  <c r="I3754" i="5"/>
  <c r="I535" i="5"/>
  <c r="I2262" i="5"/>
  <c r="I760" i="5"/>
  <c r="I850" i="5"/>
  <c r="I322" i="5"/>
  <c r="I456" i="5"/>
  <c r="I3824" i="5"/>
  <c r="I3012" i="5"/>
  <c r="I988" i="5"/>
  <c r="I4329" i="5"/>
  <c r="I4396" i="5"/>
  <c r="I4402" i="5"/>
  <c r="I3963" i="5"/>
  <c r="I3467" i="5"/>
  <c r="I4061" i="5"/>
  <c r="I3647" i="5"/>
  <c r="I3014" i="5"/>
  <c r="I1403" i="5"/>
  <c r="I3822" i="5"/>
  <c r="I3350" i="5"/>
  <c r="I2270" i="5"/>
  <c r="I2550" i="5"/>
  <c r="I2393" i="5"/>
  <c r="I356" i="5"/>
  <c r="I1622" i="5"/>
  <c r="I599" i="5"/>
  <c r="I2948" i="5"/>
  <c r="I769" i="5"/>
  <c r="I960" i="5"/>
  <c r="I411" i="5"/>
  <c r="I3737" i="5"/>
  <c r="I3508" i="5"/>
  <c r="I2417" i="5"/>
  <c r="I1160" i="5"/>
  <c r="I4103" i="5"/>
  <c r="I3590" i="5"/>
  <c r="I1375" i="5"/>
  <c r="I1586" i="5"/>
  <c r="I1478" i="5"/>
  <c r="I953" i="5"/>
  <c r="I396" i="5"/>
  <c r="I789" i="5"/>
  <c r="I266" i="5"/>
  <c r="I4387" i="5"/>
  <c r="I1298" i="5"/>
  <c r="I2784" i="5"/>
  <c r="I1159" i="5"/>
  <c r="I702" i="5"/>
  <c r="I4230" i="5"/>
  <c r="I1773" i="5"/>
  <c r="I1325" i="5"/>
  <c r="I1001" i="5"/>
  <c r="I2931" i="5"/>
  <c r="I2357" i="5"/>
  <c r="I1110" i="5"/>
  <c r="I2347" i="5"/>
  <c r="I3655" i="5"/>
  <c r="J2090" i="5"/>
  <c r="I4034" i="5"/>
  <c r="I4259" i="5"/>
  <c r="I3575" i="5"/>
  <c r="I4310" i="5"/>
  <c r="I3726" i="5"/>
  <c r="I3243" i="5"/>
  <c r="I3136" i="5"/>
  <c r="I1418" i="5"/>
  <c r="I1463" i="5"/>
  <c r="I750" i="5"/>
  <c r="I255" i="5"/>
  <c r="I926" i="5"/>
  <c r="I3337" i="5"/>
  <c r="I3567" i="5"/>
  <c r="I3940" i="5"/>
  <c r="I265" i="5"/>
  <c r="I881" i="5"/>
  <c r="I1040" i="5"/>
  <c r="I551" i="5"/>
  <c r="I4266" i="5"/>
  <c r="I3423" i="5"/>
  <c r="I3404" i="5"/>
  <c r="I2248" i="5"/>
  <c r="I1084" i="5"/>
  <c r="I4000" i="5"/>
  <c r="I4251" i="5"/>
  <c r="I3761" i="5"/>
  <c r="I3302" i="5"/>
  <c r="I1991" i="5"/>
  <c r="I1208" i="5"/>
  <c r="I2286" i="5"/>
  <c r="I626" i="5"/>
  <c r="I800" i="5"/>
  <c r="I980" i="5"/>
  <c r="I425" i="5"/>
  <c r="I2168" i="5"/>
  <c r="I4255" i="5"/>
  <c r="I3978" i="5"/>
  <c r="I3448" i="5"/>
  <c r="I3431" i="5"/>
  <c r="I2302" i="5"/>
  <c r="I1145" i="5"/>
  <c r="I3817" i="5"/>
  <c r="I3814" i="5"/>
  <c r="I3342" i="5"/>
  <c r="I2264" i="5"/>
  <c r="I2425" i="5"/>
  <c r="I1020" i="5"/>
  <c r="I355" i="5"/>
  <c r="I1351" i="5"/>
  <c r="I590" i="5"/>
  <c r="I768" i="5"/>
  <c r="I954" i="5"/>
  <c r="I387" i="5"/>
  <c r="I3847" i="5"/>
  <c r="I3293" i="5"/>
  <c r="I4166" i="5"/>
  <c r="I4385" i="5"/>
  <c r="I4112" i="5"/>
  <c r="I3546" i="5"/>
  <c r="I2469" i="5"/>
  <c r="I2453" i="5"/>
  <c r="I1211" i="5"/>
  <c r="I4185" i="5"/>
  <c r="I4118" i="5"/>
  <c r="I3696" i="5"/>
  <c r="I1493" i="5"/>
  <c r="I1774" i="5"/>
  <c r="I1592" i="5"/>
  <c r="I791" i="5"/>
  <c r="I755" i="5"/>
  <c r="I556" i="5"/>
  <c r="I3266" i="5"/>
  <c r="I3579" i="5"/>
  <c r="I3557" i="5"/>
  <c r="I3904" i="5"/>
  <c r="I1964" i="5"/>
  <c r="I1023" i="5"/>
  <c r="I476" i="5"/>
  <c r="I703" i="5"/>
  <c r="I634" i="5"/>
  <c r="I4265" i="5"/>
  <c r="I4286" i="5"/>
  <c r="I3670" i="5"/>
  <c r="I3776" i="5"/>
  <c r="I3387" i="5"/>
  <c r="I2152" i="5"/>
  <c r="I1054" i="5"/>
  <c r="I4250" i="5"/>
  <c r="I3752" i="5"/>
  <c r="I3301" i="5"/>
  <c r="I2005" i="5"/>
  <c r="I519" i="5"/>
  <c r="I1565" i="5"/>
  <c r="I726" i="5"/>
  <c r="I243" i="5"/>
  <c r="I329" i="5"/>
  <c r="I1166" i="5"/>
  <c r="I2864" i="5"/>
  <c r="I1266" i="5"/>
  <c r="I2320" i="5"/>
  <c r="I1823" i="5"/>
  <c r="I1138" i="5"/>
  <c r="I2799" i="5"/>
  <c r="I1842" i="5"/>
  <c r="I2789" i="5"/>
  <c r="I3460" i="5"/>
  <c r="I1741" i="5"/>
  <c r="I730" i="5"/>
  <c r="I1740" i="5"/>
  <c r="I1102" i="5"/>
  <c r="I2657" i="5"/>
  <c r="I4375" i="5"/>
  <c r="I3682" i="5"/>
  <c r="I3011" i="5"/>
  <c r="I3605" i="5"/>
  <c r="I2993" i="5"/>
  <c r="I1299" i="5"/>
  <c r="I3806" i="5"/>
  <c r="I1999" i="5"/>
  <c r="I846" i="5"/>
  <c r="I499" i="5"/>
  <c r="I1338" i="5"/>
  <c r="I711" i="5"/>
  <c r="I4336" i="5"/>
  <c r="I3972" i="5"/>
  <c r="I3996" i="5"/>
  <c r="I3471" i="5"/>
  <c r="I4094" i="5"/>
  <c r="I3662" i="5"/>
  <c r="I1448" i="5"/>
  <c r="I916" i="5"/>
  <c r="I3856" i="5"/>
  <c r="I4044" i="5"/>
  <c r="I3408" i="5"/>
  <c r="I3654" i="5"/>
  <c r="I1394" i="5"/>
  <c r="I1300" i="5"/>
  <c r="I3394" i="5"/>
  <c r="I934" i="5"/>
  <c r="I359" i="5"/>
  <c r="I1077" i="5"/>
  <c r="I506" i="5"/>
  <c r="I2280" i="5"/>
  <c r="I717" i="5"/>
  <c r="I229" i="5"/>
  <c r="I4163" i="5"/>
  <c r="I4361" i="5"/>
  <c r="I2409" i="5"/>
  <c r="I3952" i="5"/>
  <c r="I3165" i="5"/>
  <c r="I1593" i="5"/>
  <c r="I933" i="5"/>
  <c r="I3911" i="5"/>
  <c r="I4108" i="5"/>
  <c r="I2457" i="5"/>
  <c r="I2926" i="5"/>
  <c r="I2949" i="5"/>
  <c r="I1086" i="5"/>
  <c r="I2246" i="5"/>
  <c r="I54" i="5"/>
  <c r="I367" i="5"/>
  <c r="I4173" i="5"/>
  <c r="I4137" i="5"/>
  <c r="I3823" i="5"/>
  <c r="I4337" i="5"/>
  <c r="I1767" i="5"/>
  <c r="I3939" i="5"/>
  <c r="I4219" i="5"/>
  <c r="I801" i="5"/>
  <c r="I874" i="5"/>
  <c r="I310" i="5"/>
  <c r="I4238" i="5"/>
  <c r="I4097" i="5"/>
  <c r="I3613" i="5"/>
  <c r="I2944" i="5"/>
  <c r="I3753" i="5"/>
  <c r="I3373" i="5"/>
  <c r="I2144" i="5"/>
  <c r="I1033" i="5"/>
  <c r="I3990" i="5"/>
  <c r="I3736" i="5"/>
  <c r="I1543" i="5"/>
  <c r="I1795" i="5"/>
  <c r="I1616" i="5"/>
  <c r="I792" i="5"/>
  <c r="I252" i="5"/>
  <c r="I991" i="5"/>
  <c r="I4268" i="5"/>
  <c r="I4114" i="5"/>
  <c r="I4237" i="5"/>
  <c r="I3679" i="5"/>
  <c r="I2984" i="5"/>
  <c r="I4002" i="5"/>
  <c r="I2938" i="5"/>
  <c r="I1294" i="5"/>
  <c r="I3782" i="5"/>
  <c r="I3762" i="5"/>
  <c r="I3303" i="5"/>
  <c r="I2136" i="5"/>
  <c r="I2389" i="5"/>
  <c r="I299" i="5"/>
  <c r="I1181" i="5"/>
  <c r="I1827" i="5"/>
  <c r="I749" i="5"/>
  <c r="I902" i="5"/>
  <c r="I383" i="5"/>
  <c r="I3992" i="5"/>
  <c r="I908" i="5"/>
  <c r="I3855" i="5"/>
  <c r="I1031" i="5"/>
  <c r="I294" i="5"/>
  <c r="I4162" i="5"/>
  <c r="I4345" i="5"/>
  <c r="I4142" i="5"/>
  <c r="I4098" i="5"/>
  <c r="I3692" i="5"/>
  <c r="I753" i="5"/>
  <c r="I1103" i="5"/>
  <c r="I572" i="5"/>
  <c r="I3889" i="5"/>
  <c r="I4040" i="5"/>
  <c r="I3810" i="5"/>
  <c r="I2337" i="5"/>
  <c r="I1270" i="5"/>
  <c r="I3222" i="5"/>
  <c r="I3254" i="5"/>
  <c r="I2368" i="5"/>
  <c r="J2341" i="5"/>
  <c r="J1120" i="5"/>
  <c r="E200" i="8" s="1"/>
  <c r="J1834" i="5"/>
  <c r="E303" i="8" s="1"/>
  <c r="I4169" i="5"/>
  <c r="I4416" i="5"/>
  <c r="I1645" i="5"/>
  <c r="I968" i="5"/>
  <c r="I3934" i="5"/>
  <c r="I3901" i="5"/>
  <c r="I3691" i="5"/>
  <c r="I935" i="5"/>
  <c r="I2385" i="5"/>
  <c r="I734" i="5"/>
  <c r="I237" i="5"/>
  <c r="I4093" i="5"/>
  <c r="I4343" i="5"/>
  <c r="I3604" i="5"/>
  <c r="I2907" i="5"/>
  <c r="I3746" i="5"/>
  <c r="I1008" i="5"/>
  <c r="I3989" i="5"/>
  <c r="I3735" i="5"/>
  <c r="I1587" i="5"/>
  <c r="I2208" i="5"/>
  <c r="I828" i="5"/>
  <c r="I245" i="5"/>
  <c r="I1060" i="5"/>
  <c r="I477" i="5"/>
  <c r="I710" i="5"/>
  <c r="I4311" i="5"/>
  <c r="I3966" i="5"/>
  <c r="I3801" i="5"/>
  <c r="I2699" i="5"/>
  <c r="I309" i="5"/>
  <c r="I680" i="5"/>
  <c r="I73" i="5"/>
  <c r="I4130" i="5"/>
  <c r="I3891" i="5"/>
  <c r="I2287" i="5"/>
  <c r="I2913" i="5"/>
  <c r="I286" i="5"/>
  <c r="I3995" i="5"/>
  <c r="I4001" i="5"/>
  <c r="I3500" i="5"/>
  <c r="I4113" i="5"/>
  <c r="I3681" i="5"/>
  <c r="I2381" i="5"/>
  <c r="I4057" i="5"/>
  <c r="I4092" i="5"/>
  <c r="I3690" i="5"/>
  <c r="I3540" i="5"/>
  <c r="I2401" i="5"/>
  <c r="I2256" i="5"/>
  <c r="I990" i="5"/>
  <c r="I313" i="5"/>
  <c r="I1251" i="5"/>
  <c r="I2822" i="5"/>
  <c r="I754" i="5"/>
  <c r="I233" i="5"/>
  <c r="I907" i="5"/>
  <c r="I385" i="5"/>
  <c r="I3955" i="5"/>
  <c r="I3548" i="5"/>
  <c r="I3697" i="5"/>
  <c r="I978" i="5"/>
  <c r="I424" i="5"/>
  <c r="I298" i="5"/>
  <c r="I961" i="5"/>
  <c r="I418" i="5"/>
  <c r="I4174" i="5"/>
  <c r="I4039" i="5"/>
  <c r="I4141" i="5"/>
  <c r="I3831" i="5"/>
  <c r="I4386" i="5"/>
  <c r="I3744" i="5"/>
  <c r="I3267" i="5"/>
  <c r="I2006" i="5"/>
  <c r="I3975" i="5"/>
  <c r="I4242" i="5"/>
  <c r="I3717" i="5"/>
  <c r="I2477" i="5"/>
  <c r="I2985" i="5"/>
  <c r="I3444" i="5"/>
  <c r="I1230" i="5"/>
  <c r="I332" i="5"/>
  <c r="I4377" i="5"/>
  <c r="I2974" i="5"/>
  <c r="I3993" i="5"/>
  <c r="I1957" i="5"/>
  <c r="I2272" i="5"/>
  <c r="I909" i="5"/>
  <c r="I259" i="5"/>
  <c r="I1093" i="5"/>
  <c r="I910" i="5"/>
  <c r="I4058" i="5"/>
  <c r="I1730" i="5"/>
  <c r="I1729" i="5"/>
  <c r="J2218" i="5"/>
  <c r="E362" i="8" s="1"/>
  <c r="J2793" i="5"/>
  <c r="E894" i="8" s="1"/>
  <c r="J2773" i="5"/>
  <c r="E890" i="8" s="1"/>
  <c r="J3883" i="5"/>
  <c r="E1121" i="8" s="1"/>
  <c r="I4022" i="5"/>
  <c r="I3764" i="5"/>
  <c r="I3327" i="5"/>
  <c r="I1599" i="5"/>
  <c r="I2247" i="5"/>
  <c r="I258" i="5"/>
  <c r="I1078" i="5"/>
  <c r="I873" i="5"/>
  <c r="I328" i="5"/>
  <c r="I3048" i="5"/>
  <c r="I3671" i="5"/>
  <c r="I720" i="5"/>
  <c r="I4052" i="5"/>
  <c r="I3539" i="5"/>
  <c r="I3694" i="5"/>
  <c r="I390" i="5"/>
  <c r="I752" i="5"/>
  <c r="I802" i="5"/>
  <c r="I4175" i="5"/>
  <c r="I3578" i="5"/>
  <c r="I2543" i="5"/>
  <c r="I3970" i="5"/>
  <c r="I3556" i="5"/>
  <c r="I2549" i="5"/>
  <c r="I1222" i="5"/>
  <c r="I3734" i="5"/>
  <c r="I3504" i="5"/>
  <c r="I2981" i="5"/>
  <c r="I3241" i="5"/>
  <c r="I1223" i="5"/>
  <c r="I540" i="5"/>
  <c r="I2405" i="5"/>
  <c r="I761" i="5"/>
  <c r="I253" i="5"/>
  <c r="I859" i="5"/>
  <c r="I382" i="5"/>
  <c r="I4376" i="5"/>
  <c r="I4248" i="5"/>
  <c r="I3242" i="5"/>
  <c r="I426" i="5"/>
  <c r="I771" i="5"/>
  <c r="I308" i="5"/>
  <c r="I3598" i="5"/>
  <c r="I2255" i="5"/>
  <c r="I987" i="5"/>
  <c r="I550" i="5"/>
  <c r="I55" i="5"/>
  <c r="I4260" i="5"/>
  <c r="I3718" i="5"/>
  <c r="I3055" i="5"/>
  <c r="I3432" i="5"/>
  <c r="I2364" i="5"/>
  <c r="I4026" i="5"/>
  <c r="I3632" i="5"/>
  <c r="I3648" i="5"/>
  <c r="I1393" i="5"/>
  <c r="I3678" i="5"/>
  <c r="I704" i="5"/>
  <c r="I357" i="5"/>
  <c r="I1024" i="5"/>
  <c r="I555" i="5"/>
  <c r="I278" i="5"/>
  <c r="I4003" i="5"/>
  <c r="I4043" i="5"/>
  <c r="I3129" i="5"/>
  <c r="I3152" i="5"/>
  <c r="I1577" i="5"/>
  <c r="I932" i="5"/>
  <c r="I3415" i="5"/>
  <c r="I2433" i="5"/>
  <c r="I2920" i="5"/>
  <c r="I2574" i="5"/>
  <c r="I1085" i="5"/>
  <c r="I388" i="5"/>
  <c r="I686" i="5"/>
  <c r="I788" i="5"/>
  <c r="I344" i="5"/>
  <c r="I1011" i="5"/>
  <c r="I409" i="5"/>
  <c r="I3262" i="5"/>
  <c r="I1663" i="5"/>
  <c r="I4223" i="5"/>
  <c r="I1707" i="5"/>
  <c r="I1201" i="5"/>
  <c r="I1668" i="5"/>
  <c r="I2884" i="5"/>
  <c r="I1320" i="5"/>
  <c r="I1315" i="5"/>
  <c r="J2873" i="5"/>
  <c r="E908" i="8" s="1"/>
  <c r="I4168" i="5"/>
  <c r="I4131" i="5"/>
  <c r="I3962" i="5"/>
  <c r="I3549" i="5"/>
  <c r="I2465" i="5"/>
  <c r="I1216" i="5"/>
  <c r="I4236" i="5"/>
  <c r="I4186" i="5"/>
  <c r="I3499" i="5"/>
  <c r="I2295" i="5"/>
  <c r="I2846" i="5"/>
  <c r="I1076" i="5"/>
  <c r="I374" i="5"/>
  <c r="I1094" i="5"/>
  <c r="I566" i="5"/>
  <c r="I3330" i="5"/>
  <c r="I2132" i="5"/>
  <c r="I4243" i="5"/>
  <c r="I3233" i="5"/>
  <c r="I1992" i="5"/>
  <c r="I1278" i="5"/>
  <c r="I4107" i="5"/>
  <c r="I4215" i="5"/>
  <c r="I3677" i="5"/>
  <c r="I2975" i="5"/>
  <c r="I3999" i="5"/>
  <c r="I3597" i="5"/>
  <c r="I2906" i="5"/>
  <c r="I1271" i="5"/>
  <c r="I3763" i="5"/>
  <c r="I3994" i="5"/>
  <c r="I3563" i="5"/>
  <c r="I3027" i="5"/>
  <c r="I2278" i="5"/>
  <c r="I2230" i="5"/>
  <c r="I976" i="5"/>
  <c r="I295" i="5"/>
  <c r="I539" i="5"/>
  <c r="I731" i="5"/>
  <c r="I917" i="5"/>
  <c r="I389" i="5"/>
  <c r="I4291" i="5"/>
  <c r="I4378" i="5"/>
  <c r="I3956" i="5"/>
  <c r="I3708" i="5"/>
  <c r="I3041" i="5"/>
  <c r="I3606" i="5"/>
  <c r="I3013" i="5"/>
  <c r="I3582" i="5"/>
  <c r="I1310" i="5"/>
  <c r="I3083" i="5"/>
  <c r="I3392" i="5"/>
  <c r="I826" i="5"/>
  <c r="I345" i="5"/>
  <c r="I1010" i="5"/>
  <c r="I2397" i="5"/>
  <c r="I742" i="5"/>
  <c r="I72" i="5"/>
  <c r="I1612" i="5"/>
  <c r="I840" i="5"/>
  <c r="I2817" i="5"/>
  <c r="I2242" i="5"/>
  <c r="I996" i="5"/>
  <c r="I1938" i="5"/>
  <c r="I2611" i="5"/>
  <c r="I598" i="5"/>
  <c r="I1658" i="5"/>
  <c r="I3946" i="5"/>
  <c r="I4048" i="5"/>
  <c r="I743" i="5"/>
  <c r="I2717" i="5"/>
  <c r="I2859" i="5"/>
  <c r="I2804" i="5"/>
  <c r="I1187" i="5"/>
  <c r="I1635" i="5"/>
  <c r="I2779" i="5"/>
  <c r="I4247" i="5"/>
  <c r="I3977" i="5"/>
  <c r="I3413" i="5"/>
  <c r="I4021" i="5"/>
  <c r="I4014" i="5"/>
  <c r="I3576" i="5"/>
  <c r="I2956" i="5"/>
  <c r="I3090" i="5"/>
  <c r="I3599" i="5"/>
  <c r="I1985" i="5"/>
  <c r="I786" i="5"/>
  <c r="I285" i="5"/>
  <c r="I941" i="5"/>
  <c r="I375" i="5"/>
  <c r="I4147" i="5"/>
  <c r="I3719" i="5"/>
  <c r="I3062" i="5"/>
  <c r="I3931" i="5"/>
  <c r="I3481" i="5"/>
  <c r="I1152" i="5"/>
  <c r="I4049" i="5"/>
  <c r="I3830" i="5"/>
  <c r="I3356" i="5"/>
  <c r="I2271" i="5"/>
  <c r="I2573" i="5"/>
  <c r="I2437" i="5"/>
  <c r="I384" i="5"/>
  <c r="I1978" i="5"/>
  <c r="I623" i="5"/>
  <c r="I3472" i="5"/>
  <c r="I784" i="5"/>
  <c r="I923" i="5"/>
  <c r="I405" i="5"/>
  <c r="I4015" i="5"/>
  <c r="I4062" i="5"/>
  <c r="I3770" i="5"/>
  <c r="I3171" i="5"/>
  <c r="I3716" i="5"/>
  <c r="I2441" i="5"/>
  <c r="I1202" i="5"/>
  <c r="I3869" i="5"/>
  <c r="I3607" i="5"/>
  <c r="I1433" i="5"/>
  <c r="I1564" i="5"/>
  <c r="I772" i="5"/>
  <c r="I977" i="5"/>
  <c r="I403" i="5"/>
  <c r="I1131" i="5"/>
  <c r="I617" i="5"/>
  <c r="I1032" i="5"/>
  <c r="I515" i="5"/>
  <c r="I4280" i="5"/>
  <c r="I4239" i="5"/>
  <c r="I3903" i="5"/>
  <c r="I1067" i="5"/>
  <c r="I582" i="5"/>
  <c r="I4278" i="5"/>
  <c r="I4181" i="5"/>
  <c r="I3897" i="5"/>
  <c r="I3360" i="5"/>
  <c r="I3988" i="5"/>
  <c r="I3580" i="5"/>
  <c r="I2809" i="5"/>
  <c r="I1257" i="5"/>
  <c r="I4312" i="5"/>
  <c r="I3954" i="5"/>
  <c r="I3532" i="5"/>
  <c r="I2473" i="5"/>
  <c r="I2980" i="5"/>
  <c r="I3034" i="5"/>
  <c r="I1195" i="5"/>
  <c r="I992" i="5"/>
  <c r="I1188" i="5"/>
  <c r="I674" i="5"/>
  <c r="I4313" i="5"/>
  <c r="I3976" i="5"/>
  <c r="I3443" i="5"/>
  <c r="I3412" i="5"/>
  <c r="I2263" i="5"/>
  <c r="I1092" i="5"/>
  <c r="I4004" i="5"/>
  <c r="I4005" i="5"/>
  <c r="I3566" i="5"/>
  <c r="I3069" i="5"/>
  <c r="I3496" i="5"/>
  <c r="I1236" i="5"/>
  <c r="I2449" i="5"/>
  <c r="I631" i="5"/>
  <c r="I808" i="5"/>
  <c r="I331" i="5"/>
  <c r="I406" i="5"/>
  <c r="I1167" i="5"/>
  <c r="I641" i="5"/>
  <c r="I4136" i="5"/>
  <c r="I3905" i="5"/>
  <c r="I1146" i="5"/>
  <c r="I4024" i="5"/>
  <c r="I3361" i="5"/>
  <c r="I3393" i="5"/>
  <c r="I925" i="5"/>
  <c r="I3076" i="5"/>
  <c r="I751" i="5"/>
  <c r="I3951" i="5"/>
  <c r="I3902" i="5"/>
  <c r="I3849" i="5"/>
  <c r="I2207" i="5"/>
  <c r="I3695" i="5"/>
  <c r="I4412" i="5"/>
  <c r="I4367" i="5"/>
  <c r="I4016" i="5"/>
  <c r="I1308" i="5"/>
  <c r="I1046" i="5"/>
  <c r="I1950" i="5"/>
  <c r="I3279" i="5"/>
  <c r="I1718" i="5"/>
  <c r="J2893" i="5"/>
  <c r="E912" i="8" s="1"/>
  <c r="J1882" i="5"/>
  <c r="E311" i="8" s="1"/>
  <c r="J4295" i="5"/>
  <c r="E1171" i="8" s="1"/>
  <c r="I3809" i="5"/>
  <c r="I3232" i="5"/>
  <c r="I2556" i="5"/>
  <c r="I386" i="5"/>
  <c r="I2160" i="5"/>
  <c r="I679" i="5"/>
  <c r="I3555" i="5"/>
  <c r="I787" i="5"/>
  <c r="I407" i="5"/>
  <c r="I4235" i="5"/>
  <c r="I4254" i="5"/>
  <c r="I4180" i="5"/>
  <c r="I3877" i="5"/>
  <c r="I3987" i="5"/>
  <c r="I2759" i="5"/>
  <c r="I1243" i="5"/>
  <c r="I4267" i="5"/>
  <c r="I3745" i="5"/>
  <c r="I3512" i="5"/>
  <c r="I2914" i="5"/>
  <c r="I3005" i="5"/>
  <c r="I3583" i="5"/>
  <c r="I1984" i="5"/>
  <c r="I593" i="5"/>
  <c r="I2675" i="5"/>
  <c r="I785" i="5"/>
  <c r="I373" i="5"/>
  <c r="I799" i="5"/>
  <c r="I324" i="5"/>
  <c r="I1104" i="5"/>
  <c r="I1781" i="5"/>
  <c r="I244" i="5"/>
  <c r="I4053" i="5"/>
  <c r="I1309" i="5"/>
  <c r="I4023" i="5"/>
  <c r="I4020" i="5"/>
  <c r="I3577" i="5"/>
  <c r="I3268" i="5"/>
  <c r="I695" i="5"/>
  <c r="I528" i="5"/>
  <c r="J2661" i="5"/>
  <c r="E870" i="8" s="1"/>
  <c r="J2124" i="5"/>
  <c r="J1685" i="5"/>
  <c r="E276" i="8" s="1"/>
  <c r="J2118" i="5"/>
  <c r="J2588" i="5"/>
  <c r="E857" i="8" s="1"/>
  <c r="J2583" i="5"/>
  <c r="E856" i="8" s="1"/>
  <c r="J3619" i="5"/>
  <c r="E1073" i="8" s="1"/>
  <c r="J2706" i="5"/>
  <c r="E876" i="8" s="1"/>
  <c r="J3625" i="5"/>
  <c r="E1074" i="8" s="1"/>
  <c r="E342" i="8" l="1"/>
  <c r="E347" i="8"/>
  <c r="E375" i="8"/>
  <c r="E346" i="8"/>
  <c r="E380" i="8"/>
  <c r="E277" i="8"/>
  <c r="E126" i="8"/>
  <c r="J2184" i="5"/>
  <c r="J2192" i="5"/>
  <c r="J2593" i="5"/>
  <c r="E858" i="8" s="1"/>
  <c r="J1894" i="5"/>
  <c r="E313" i="8" s="1"/>
  <c r="J1900" i="5"/>
  <c r="E314" i="8" s="1"/>
  <c r="J4155" i="5"/>
  <c r="E1154" i="8" s="1"/>
  <c r="J2746" i="5"/>
  <c r="E884" i="8" s="1"/>
  <c r="J2176" i="5"/>
  <c r="J2726" i="5"/>
  <c r="E880" i="8" s="1"/>
  <c r="J2635" i="5"/>
  <c r="E866" i="8" s="1"/>
  <c r="J2600" i="5"/>
  <c r="E859" i="8" s="1"/>
  <c r="I2058" i="5"/>
  <c r="J2731" i="5"/>
  <c r="E881" i="8" s="1"/>
  <c r="I687" i="5"/>
  <c r="J4076" i="5"/>
  <c r="E1143" i="8" s="1"/>
  <c r="J2445" i="5"/>
  <c r="E579" i="8" s="1"/>
  <c r="J3033" i="5"/>
  <c r="J4343" i="5"/>
  <c r="J3040" i="5"/>
  <c r="J3061" i="5"/>
  <c r="J4084" i="5"/>
  <c r="E1144" i="8" s="1"/>
  <c r="J2741" i="5"/>
  <c r="E883" i="8" s="1"/>
  <c r="J2751" i="5"/>
  <c r="E885" i="8" s="1"/>
  <c r="J1757" i="5"/>
  <c r="J3075" i="5"/>
  <c r="J3346" i="5"/>
  <c r="E982" i="8" s="1"/>
  <c r="J2578" i="5"/>
  <c r="E855" i="8" s="1"/>
  <c r="J3047" i="5"/>
  <c r="J850" i="5"/>
  <c r="J1827" i="5"/>
  <c r="E302" i="8" s="1"/>
  <c r="J3089" i="5"/>
  <c r="J3865" i="5"/>
  <c r="E1118" i="8" s="1"/>
  <c r="J4066" i="5"/>
  <c r="E1142" i="8" s="1"/>
  <c r="J2756" i="5"/>
  <c r="J249" i="5"/>
  <c r="E75" i="8" s="1"/>
  <c r="J4303" i="5"/>
  <c r="E1172" i="8" s="1"/>
  <c r="J738" i="5"/>
  <c r="E143" i="8" s="1"/>
  <c r="J4351" i="5"/>
  <c r="E1178" i="8" s="1"/>
  <c r="J3799" i="5"/>
  <c r="E1110" i="8" s="1"/>
  <c r="J4122" i="5"/>
  <c r="E1148" i="8" s="1"/>
  <c r="J3082" i="5"/>
  <c r="J3314" i="5"/>
  <c r="E977" i="8" s="1"/>
  <c r="J3961" i="5"/>
  <c r="E1133" i="8" s="1"/>
  <c r="I1277" i="5"/>
  <c r="I2034" i="5"/>
  <c r="I581" i="5"/>
  <c r="I2082" i="5"/>
  <c r="I2050" i="5"/>
  <c r="I2066" i="5"/>
  <c r="J1750" i="5"/>
  <c r="J3845" i="5"/>
  <c r="E1116" i="8" s="1"/>
  <c r="J473" i="5"/>
  <c r="E100" i="8" s="1"/>
  <c r="J3108" i="5"/>
  <c r="J3838" i="5"/>
  <c r="E1115" i="8" s="1"/>
  <c r="J1173" i="5"/>
  <c r="J328" i="5"/>
  <c r="E85" i="8" s="1"/>
  <c r="J3068" i="5"/>
  <c r="J3853" i="5"/>
  <c r="E1117" i="8" s="1"/>
  <c r="J3538" i="5"/>
  <c r="J3054" i="5"/>
  <c r="J608" i="5"/>
  <c r="J4030" i="5"/>
  <c r="J1598" i="5"/>
  <c r="J2674" i="5"/>
  <c r="E872" i="8" s="1"/>
  <c r="J1984" i="5"/>
  <c r="J1046" i="5"/>
  <c r="J1257" i="5"/>
  <c r="J1564" i="5"/>
  <c r="I188" i="6"/>
  <c r="J2778" i="5"/>
  <c r="E891" i="8" s="1"/>
  <c r="J539" i="5"/>
  <c r="I144" i="6"/>
  <c r="J2433" i="5"/>
  <c r="E576" i="8" s="1"/>
  <c r="J3151" i="5"/>
  <c r="J1391" i="5"/>
  <c r="J1222" i="5"/>
  <c r="J694" i="5"/>
  <c r="J4039" i="5"/>
  <c r="I2889" i="5"/>
  <c r="I1030" i="5"/>
  <c r="I2764" i="5"/>
  <c r="I1115" i="5"/>
  <c r="I2626" i="5"/>
  <c r="I3591" i="5"/>
  <c r="I1928" i="5"/>
  <c r="I2631" i="5"/>
  <c r="I2722" i="5"/>
  <c r="J2698" i="5"/>
  <c r="E875" i="8" s="1"/>
  <c r="J1060" i="5"/>
  <c r="J237" i="5"/>
  <c r="J2385" i="5"/>
  <c r="J1645" i="5"/>
  <c r="J3254" i="5"/>
  <c r="E971" i="8" s="1"/>
  <c r="J3889" i="5"/>
  <c r="E1122" i="8" s="1"/>
  <c r="J749" i="5"/>
  <c r="J2389" i="5"/>
  <c r="E568" i="8" s="1"/>
  <c r="J3782" i="5"/>
  <c r="J2937" i="5"/>
  <c r="E919" i="8" s="1"/>
  <c r="J1616" i="5"/>
  <c r="J3613" i="5"/>
  <c r="J717" i="5"/>
  <c r="J3806" i="5"/>
  <c r="J3895" i="5"/>
  <c r="E1123" i="8" s="1"/>
  <c r="J1840" i="5"/>
  <c r="E304" i="8" s="1"/>
  <c r="J2798" i="5"/>
  <c r="E895" i="8" s="1"/>
  <c r="J1166" i="5"/>
  <c r="J2453" i="5"/>
  <c r="E581" i="8" s="1"/>
  <c r="J3546" i="5"/>
  <c r="J1991" i="5"/>
  <c r="J3761" i="5"/>
  <c r="J3423" i="5"/>
  <c r="J1001" i="5"/>
  <c r="E184" i="8" s="1"/>
  <c r="J3712" i="5"/>
  <c r="J3326" i="5"/>
  <c r="J1864" i="5"/>
  <c r="E308" i="8" s="1"/>
  <c r="J4204" i="5"/>
  <c r="E1160" i="8" s="1"/>
  <c r="J3743" i="5"/>
  <c r="J71" i="5"/>
  <c r="J3876" i="5"/>
  <c r="J3938" i="5"/>
  <c r="J4161" i="5"/>
  <c r="I2074" i="5"/>
  <c r="I3818" i="5"/>
  <c r="I2332" i="5"/>
  <c r="I3640" i="5"/>
  <c r="I1708" i="5"/>
  <c r="I1717" i="5"/>
  <c r="I2621" i="5"/>
  <c r="I492" i="5"/>
  <c r="I2879" i="5"/>
  <c r="J2690" i="5"/>
  <c r="E874" i="8" s="1"/>
  <c r="J3925" i="5"/>
  <c r="I132" i="6"/>
  <c r="J1639" i="5"/>
  <c r="J3725" i="5"/>
  <c r="J4102" i="5"/>
  <c r="I1799" i="5"/>
  <c r="J4020" i="5"/>
  <c r="J3005" i="5"/>
  <c r="J3512" i="5"/>
  <c r="J4410" i="5"/>
  <c r="E1237" i="8" s="1"/>
  <c r="J2205" i="5"/>
  <c r="E360" i="8" s="1"/>
  <c r="J1236" i="5"/>
  <c r="J1092" i="5"/>
  <c r="J2473" i="5"/>
  <c r="E586" i="8" s="1"/>
  <c r="J3360" i="5"/>
  <c r="J1067" i="5"/>
  <c r="J1131" i="5"/>
  <c r="J2441" i="5"/>
  <c r="E578" i="8" s="1"/>
  <c r="J784" i="5"/>
  <c r="J2571" i="5"/>
  <c r="J3354" i="5"/>
  <c r="E983" i="8" s="1"/>
  <c r="J3481" i="5"/>
  <c r="E1017" i="8" s="1"/>
  <c r="J941" i="5"/>
  <c r="J4013" i="5"/>
  <c r="E1136" i="8" s="1"/>
  <c r="J1187" i="5"/>
  <c r="J2858" i="5"/>
  <c r="E905" i="8" s="1"/>
  <c r="J3946" i="5"/>
  <c r="E1131" i="8" s="1"/>
  <c r="J598" i="5"/>
  <c r="J1937" i="5"/>
  <c r="E321" i="8" s="1"/>
  <c r="J2240" i="5"/>
  <c r="E365" i="8" s="1"/>
  <c r="J839" i="5"/>
  <c r="E157" i="8" s="1"/>
  <c r="J2397" i="5"/>
  <c r="E570" i="8" s="1"/>
  <c r="J3392" i="5"/>
  <c r="E991" i="8" s="1"/>
  <c r="J974" i="5"/>
  <c r="J2278" i="5"/>
  <c r="J2465" i="5"/>
  <c r="E584" i="8" s="1"/>
  <c r="J1667" i="5"/>
  <c r="E273" i="8" s="1"/>
  <c r="J4223" i="5"/>
  <c r="J932" i="5"/>
  <c r="J278" i="5"/>
  <c r="J2362" i="5"/>
  <c r="J985" i="5"/>
  <c r="I114" i="6"/>
  <c r="J857" i="5"/>
  <c r="J3504" i="5"/>
  <c r="J2541" i="5"/>
  <c r="J2477" i="5"/>
  <c r="J907" i="5"/>
  <c r="J2401" i="5"/>
  <c r="E571" i="8" s="1"/>
  <c r="J3690" i="5"/>
  <c r="J4057" i="5"/>
  <c r="I1794" i="5"/>
  <c r="I21" i="5"/>
  <c r="I1180" i="5"/>
  <c r="I19" i="7"/>
  <c r="J3669" i="5"/>
  <c r="J2136" i="5"/>
  <c r="J2942" i="5"/>
  <c r="I138" i="6"/>
  <c r="J54" i="5"/>
  <c r="J2924" i="5"/>
  <c r="J3165" i="5"/>
  <c r="J506" i="5"/>
  <c r="J844" i="5"/>
  <c r="E158" i="8" s="1"/>
  <c r="J4375" i="5"/>
  <c r="J1102" i="5"/>
  <c r="J730" i="5"/>
  <c r="J1821" i="5"/>
  <c r="E301" i="8" s="1"/>
  <c r="J1264" i="5"/>
  <c r="E221" i="8" s="1"/>
  <c r="J241" i="5"/>
  <c r="E62" i="8" s="1"/>
  <c r="J2005" i="5"/>
  <c r="J3752" i="5"/>
  <c r="J3387" i="5"/>
  <c r="J4286" i="5"/>
  <c r="I2737" i="5"/>
  <c r="I3586" i="5"/>
  <c r="I3229" i="5"/>
  <c r="I2018" i="5"/>
  <c r="I2769" i="5"/>
  <c r="I356" i="6"/>
  <c r="J2168" i="5"/>
  <c r="J4229" i="5"/>
  <c r="E1164" i="8" s="1"/>
  <c r="J1159" i="5"/>
  <c r="J1298" i="5"/>
  <c r="J1373" i="5"/>
  <c r="J3647" i="5"/>
  <c r="J3467" i="5"/>
  <c r="J4329" i="5"/>
  <c r="J322" i="5"/>
  <c r="E84" i="8" s="1"/>
  <c r="J760" i="5"/>
  <c r="J533" i="5"/>
  <c r="J466" i="5"/>
  <c r="J4199" i="5"/>
  <c r="E1159" i="8" s="1"/>
  <c r="J2666" i="5"/>
  <c r="E871" i="8" s="1"/>
  <c r="J3122" i="5"/>
  <c r="J4321" i="5"/>
  <c r="I1710" i="5"/>
  <c r="I1732" i="5"/>
  <c r="I1719" i="5"/>
  <c r="J1998" i="5"/>
  <c r="J4335" i="5"/>
  <c r="J878" i="5"/>
  <c r="J863" i="5"/>
  <c r="E161" i="8" s="1"/>
  <c r="J417" i="5"/>
  <c r="J2930" i="5"/>
  <c r="J3495" i="5"/>
  <c r="J3917" i="5"/>
  <c r="J2449" i="5"/>
  <c r="E580" i="8" s="1"/>
  <c r="J2808" i="5"/>
  <c r="E897" i="8" s="1"/>
  <c r="J403" i="5"/>
  <c r="J2716" i="5"/>
  <c r="E878" i="8" s="1"/>
  <c r="J2816" i="5"/>
  <c r="E898" i="8" s="1"/>
  <c r="J1201" i="5"/>
  <c r="J382" i="5"/>
  <c r="J1215" i="5"/>
  <c r="I287" i="6"/>
  <c r="J233" i="5"/>
  <c r="I2108" i="5"/>
  <c r="I2349" i="5"/>
  <c r="I3026" i="5"/>
  <c r="I2616" i="5"/>
  <c r="I1787" i="5"/>
  <c r="I1381" i="5"/>
  <c r="I487" i="5"/>
  <c r="I3530" i="5"/>
  <c r="I1860" i="5"/>
  <c r="I1344" i="5"/>
  <c r="J1006" i="5"/>
  <c r="J3901" i="5"/>
  <c r="J2368" i="5"/>
  <c r="J2336" i="5"/>
  <c r="E379" i="8" s="1"/>
  <c r="I200" i="6"/>
  <c r="J367" i="5"/>
  <c r="J916" i="5"/>
  <c r="J2656" i="5"/>
  <c r="E869" i="8" s="1"/>
  <c r="J2788" i="5"/>
  <c r="E893" i="8" s="1"/>
  <c r="J2863" i="5"/>
  <c r="E906" i="8" s="1"/>
  <c r="J3776" i="5"/>
  <c r="I310" i="6"/>
  <c r="J1592" i="5"/>
  <c r="J2469" i="5"/>
  <c r="E585" i="8" s="1"/>
  <c r="J4112" i="5"/>
  <c r="J3291" i="5"/>
  <c r="E975" i="8" s="1"/>
  <c r="I3237" i="5"/>
  <c r="J3341" i="5"/>
  <c r="E981" i="8" s="1"/>
  <c r="J2302" i="5"/>
  <c r="J1208" i="5"/>
  <c r="J1084" i="5"/>
  <c r="J3404" i="5"/>
  <c r="J264" i="5"/>
  <c r="E78" i="8" s="1"/>
  <c r="J953" i="5"/>
  <c r="I13" i="7"/>
  <c r="J4396" i="5"/>
  <c r="E1184" i="8" s="1"/>
  <c r="J1194" i="5"/>
  <c r="J1557" i="5"/>
  <c r="J2682" i="5"/>
  <c r="E873" i="8" s="1"/>
  <c r="J1053" i="5"/>
  <c r="J2112" i="5"/>
  <c r="J3147" i="5"/>
  <c r="J2833" i="5"/>
  <c r="J666" i="5"/>
  <c r="J1250" i="5"/>
  <c r="J4384" i="5"/>
  <c r="I1039" i="5"/>
  <c r="I3638" i="5"/>
  <c r="I1721" i="5"/>
  <c r="I1743" i="5"/>
  <c r="I1956" i="5"/>
  <c r="I2098" i="5"/>
  <c r="I2854" i="5"/>
  <c r="I2652" i="5"/>
  <c r="I1848" i="5"/>
  <c r="J3195" i="5"/>
  <c r="E963" i="8" s="1"/>
  <c r="I3021" i="5"/>
  <c r="I1229" i="5"/>
  <c r="I108" i="6"/>
  <c r="J1243" i="5"/>
  <c r="J4179" i="5"/>
  <c r="E1156" i="8" s="1"/>
  <c r="J4235" i="5"/>
  <c r="J3555" i="5"/>
  <c r="J2160" i="5"/>
  <c r="J2554" i="5"/>
  <c r="J1948" i="5"/>
  <c r="E323" i="8" s="1"/>
  <c r="J4367" i="5"/>
  <c r="J3951" i="5"/>
  <c r="J639" i="5"/>
  <c r="J808" i="5"/>
  <c r="J4278" i="5"/>
  <c r="J513" i="5"/>
  <c r="J617" i="5"/>
  <c r="J3869" i="5"/>
  <c r="J3716" i="5"/>
  <c r="J3770" i="5"/>
  <c r="J923" i="5"/>
  <c r="J2437" i="5"/>
  <c r="E577" i="8" s="1"/>
  <c r="J1152" i="5"/>
  <c r="J3931" i="5"/>
  <c r="I360" i="6"/>
  <c r="J285" i="5"/>
  <c r="J4247" i="5"/>
  <c r="J1633" i="5"/>
  <c r="J2803" i="5"/>
  <c r="E896" i="8" s="1"/>
  <c r="J4048" i="5"/>
  <c r="J1657" i="5"/>
  <c r="E271" i="8" s="1"/>
  <c r="J2610" i="5"/>
  <c r="E861" i="8" s="1"/>
  <c r="J996" i="5"/>
  <c r="E183" i="8" s="1"/>
  <c r="J1611" i="5"/>
  <c r="E263" i="8" s="1"/>
  <c r="J742" i="5"/>
  <c r="E144" i="8" s="1"/>
  <c r="J826" i="5"/>
  <c r="J3708" i="5"/>
  <c r="J2904" i="5"/>
  <c r="J2130" i="5"/>
  <c r="J1076" i="5"/>
  <c r="J2295" i="5"/>
  <c r="J2883" i="5"/>
  <c r="E910" i="8" s="1"/>
  <c r="J1662" i="5"/>
  <c r="E272" i="8" s="1"/>
  <c r="J2918" i="5"/>
  <c r="J3129" i="5"/>
  <c r="J2405" i="5"/>
  <c r="E572" i="8" s="1"/>
  <c r="J3734" i="5"/>
  <c r="J2547" i="5"/>
  <c r="J871" i="5"/>
  <c r="I150" i="6"/>
  <c r="J2821" i="5"/>
  <c r="E899" i="8" s="1"/>
  <c r="J4092" i="5"/>
  <c r="J2381" i="5"/>
  <c r="I1766" i="5"/>
  <c r="I967" i="5"/>
  <c r="I1872" i="5"/>
  <c r="J2911" i="5"/>
  <c r="I194" i="6"/>
  <c r="J710" i="5"/>
  <c r="I23" i="6"/>
  <c r="J1270" i="5"/>
  <c r="E222" i="8" s="1"/>
  <c r="J2144" i="5"/>
  <c r="J2246" i="5"/>
  <c r="J2457" i="5"/>
  <c r="E582" i="8" s="1"/>
  <c r="J3911" i="5"/>
  <c r="J4361" i="5"/>
  <c r="J229" i="5"/>
  <c r="J499" i="5"/>
  <c r="J2993" i="5"/>
  <c r="J1138" i="5"/>
  <c r="J2320" i="5"/>
  <c r="J724" i="5"/>
  <c r="J2152" i="5"/>
  <c r="I1933" i="5"/>
  <c r="I2869" i="5"/>
  <c r="I1369" i="5"/>
  <c r="I1571" i="5"/>
  <c r="I1739" i="5"/>
  <c r="J1145" i="5"/>
  <c r="J1110" i="5"/>
  <c r="E198" i="8" s="1"/>
  <c r="J1771" i="5"/>
  <c r="J702" i="5"/>
  <c r="J2783" i="5"/>
  <c r="E892" i="8" s="1"/>
  <c r="J1586" i="5"/>
  <c r="J3508" i="5"/>
  <c r="J960" i="5"/>
  <c r="J1622" i="5"/>
  <c r="J2393" i="5"/>
  <c r="E569" i="8" s="1"/>
  <c r="J2270" i="5"/>
  <c r="J3822" i="5"/>
  <c r="J456" i="5"/>
  <c r="J2262" i="5"/>
  <c r="I126" i="6"/>
  <c r="I120" i="6"/>
  <c r="J2254" i="5"/>
  <c r="J812" i="5"/>
  <c r="E152" i="8" s="1"/>
  <c r="I520" i="5"/>
  <c r="I1701" i="5"/>
  <c r="J798" i="5"/>
  <c r="J766" i="5"/>
  <c r="J833" i="5"/>
  <c r="E156" i="8" s="1"/>
  <c r="J2999" i="5"/>
  <c r="J2461" i="5"/>
  <c r="E583" i="8" s="1"/>
  <c r="J947" i="5"/>
  <c r="E177" i="8" l="1"/>
  <c r="E368" i="8"/>
  <c r="E267" i="8"/>
  <c r="E1129" i="8"/>
  <c r="E1102" i="8"/>
  <c r="E105" i="8"/>
  <c r="E1132" i="8"/>
  <c r="E352" i="8"/>
  <c r="E218" i="8"/>
  <c r="E127" i="8"/>
  <c r="E191" i="8"/>
  <c r="E993" i="8"/>
  <c r="E150" i="8"/>
  <c r="E367" i="8"/>
  <c r="E98" i="8"/>
  <c r="E265" i="8"/>
  <c r="E259" i="8"/>
  <c r="E351" i="8"/>
  <c r="E927" i="8"/>
  <c r="E1125" i="8"/>
  <c r="E915" i="8"/>
  <c r="E413" i="8"/>
  <c r="E1095" i="8"/>
  <c r="E348" i="8"/>
  <c r="E1166" i="8"/>
  <c r="E205" i="8"/>
  <c r="E1093" i="8"/>
  <c r="E1169" i="8"/>
  <c r="E1180" i="8"/>
  <c r="E1066" i="8"/>
  <c r="E901" i="8"/>
  <c r="E195" i="8"/>
  <c r="E260" i="8"/>
  <c r="E1124" i="8"/>
  <c r="E90" i="8"/>
  <c r="E92" i="8"/>
  <c r="E1126" i="8"/>
  <c r="E948" i="8"/>
  <c r="E108" i="8"/>
  <c r="E1006" i="8"/>
  <c r="E206" i="8"/>
  <c r="E331" i="8"/>
  <c r="E136" i="8"/>
  <c r="E104" i="8"/>
  <c r="E1141" i="8"/>
  <c r="E593" i="8"/>
  <c r="E175" i="8"/>
  <c r="E116" i="8"/>
  <c r="E854" i="8"/>
  <c r="E193" i="8"/>
  <c r="E217" i="8"/>
  <c r="E929" i="8"/>
  <c r="E1094" i="8"/>
  <c r="E1120" i="8"/>
  <c r="E995" i="8"/>
  <c r="E264" i="8"/>
  <c r="E145" i="8"/>
  <c r="E472" i="8"/>
  <c r="E241" i="8"/>
  <c r="E109" i="8"/>
  <c r="E220" i="8"/>
  <c r="E261" i="8"/>
  <c r="E1064" i="8"/>
  <c r="E208" i="8"/>
  <c r="E941" i="8"/>
  <c r="E934" i="8"/>
  <c r="E147" i="8"/>
  <c r="E203" i="8"/>
  <c r="E1179" i="8"/>
  <c r="E350" i="8"/>
  <c r="E850" i="8"/>
  <c r="E916" i="8"/>
  <c r="E194" i="8"/>
  <c r="E155" i="8"/>
  <c r="E928" i="8"/>
  <c r="E1113" i="8"/>
  <c r="E179" i="8"/>
  <c r="E1145" i="8"/>
  <c r="E162" i="8"/>
  <c r="E914" i="8"/>
  <c r="E1140" i="8"/>
  <c r="E81" i="8"/>
  <c r="E1119" i="8"/>
  <c r="E151" i="8"/>
  <c r="E1165" i="8"/>
  <c r="E1182" i="8"/>
  <c r="E953" i="8"/>
  <c r="E256" i="8"/>
  <c r="E178" i="8"/>
  <c r="E213" i="8"/>
  <c r="E54" i="8"/>
  <c r="E212" i="8"/>
  <c r="E1019" i="8"/>
  <c r="E163" i="8"/>
  <c r="E146" i="8"/>
  <c r="E1077" i="8"/>
  <c r="E1170" i="8"/>
  <c r="E197" i="8"/>
  <c r="E958" i="8"/>
  <c r="E920" i="8"/>
  <c r="E1083" i="8"/>
  <c r="E849" i="8"/>
  <c r="E182" i="8"/>
  <c r="E1163" i="8"/>
  <c r="E370" i="8"/>
  <c r="E176" i="8"/>
  <c r="E149" i="8"/>
  <c r="E985" i="8"/>
  <c r="E1137" i="8"/>
  <c r="E268" i="8"/>
  <c r="E19" i="8"/>
  <c r="E979" i="8"/>
  <c r="E1099" i="8"/>
  <c r="E207" i="8"/>
  <c r="E1111" i="8"/>
  <c r="E56" i="8"/>
  <c r="E1139" i="8"/>
  <c r="E955" i="8"/>
  <c r="E190" i="8"/>
  <c r="E1138" i="8"/>
  <c r="E283" i="8"/>
  <c r="E886" i="8"/>
  <c r="E1177" i="8"/>
  <c r="E356" i="8"/>
  <c r="E1035" i="8"/>
  <c r="E286" i="8"/>
  <c r="E204" i="8"/>
  <c r="E135" i="8"/>
  <c r="E103" i="8"/>
  <c r="E369" i="8"/>
  <c r="E132" i="8"/>
  <c r="E376" i="8"/>
  <c r="E53" i="8"/>
  <c r="E366" i="8"/>
  <c r="E133" i="8"/>
  <c r="E949" i="8"/>
  <c r="E372" i="8"/>
  <c r="E1087" i="8"/>
  <c r="E174" i="8"/>
  <c r="E118" i="8"/>
  <c r="E121" i="8"/>
  <c r="E851" i="8"/>
  <c r="E219" i="8"/>
  <c r="E345" i="8"/>
  <c r="E211" i="8"/>
  <c r="E373" i="8"/>
  <c r="E1147" i="8"/>
  <c r="E1103" i="8"/>
  <c r="E173" i="8"/>
  <c r="E384" i="8"/>
  <c r="E185" i="8"/>
  <c r="E918" i="8"/>
  <c r="E1176" i="8"/>
  <c r="E238" i="8"/>
  <c r="E353" i="8"/>
  <c r="E989" i="8"/>
  <c r="E1181" i="8"/>
  <c r="E917" i="8"/>
  <c r="E349" i="8"/>
  <c r="E1034" i="8"/>
  <c r="E383" i="8"/>
  <c r="E181" i="8"/>
  <c r="E1155" i="8"/>
  <c r="E1097" i="8"/>
  <c r="E1088" i="8"/>
  <c r="E329" i="8"/>
  <c r="E134" i="8"/>
  <c r="E1106" i="8"/>
  <c r="E192" i="8"/>
  <c r="E131" i="8"/>
  <c r="E328" i="8"/>
  <c r="E117" i="8"/>
  <c r="E938" i="8"/>
  <c r="E945" i="8"/>
  <c r="E940" i="8"/>
  <c r="E159" i="8"/>
  <c r="E939" i="8"/>
  <c r="E933" i="8"/>
  <c r="E355" i="8"/>
  <c r="E88" i="8"/>
  <c r="E214" i="8"/>
  <c r="E93" i="8"/>
  <c r="E330" i="8"/>
  <c r="E1174" i="8"/>
  <c r="E99" i="8"/>
  <c r="E1175" i="8"/>
  <c r="E226" i="8"/>
  <c r="E1098" i="8"/>
  <c r="E16" i="8"/>
  <c r="E1081" i="8"/>
  <c r="E172" i="8"/>
  <c r="E160" i="8"/>
  <c r="E80" i="8"/>
  <c r="E210" i="8"/>
  <c r="E202" i="8"/>
  <c r="E196" i="8"/>
  <c r="E1036" i="8"/>
  <c r="E1146" i="8"/>
  <c r="E1128" i="8"/>
  <c r="E1130" i="8"/>
  <c r="E1065" i="8"/>
  <c r="E1071" i="8"/>
  <c r="E269" i="8"/>
  <c r="E215" i="8"/>
  <c r="E257" i="8"/>
  <c r="E936" i="8"/>
  <c r="E935" i="8"/>
  <c r="E284" i="8"/>
  <c r="E937" i="8"/>
  <c r="E354" i="8"/>
  <c r="J2058" i="5"/>
  <c r="I2042" i="5"/>
  <c r="J581" i="5"/>
  <c r="J1277" i="5"/>
  <c r="E223" i="8" s="1"/>
  <c r="J2066" i="5"/>
  <c r="J2034" i="5"/>
  <c r="J2050" i="5"/>
  <c r="J2082" i="5"/>
  <c r="I8" i="7"/>
  <c r="I678" i="5"/>
  <c r="J3814" i="5"/>
  <c r="I2026" i="5"/>
  <c r="I571" i="5"/>
  <c r="I1284" i="5"/>
  <c r="I670" i="5"/>
  <c r="I40" i="6"/>
  <c r="I209" i="6"/>
  <c r="I182" i="6"/>
  <c r="J3590" i="5"/>
  <c r="J519" i="5"/>
  <c r="I217" i="6"/>
  <c r="J3021" i="5"/>
  <c r="E931" i="8" s="1"/>
  <c r="J1846" i="5"/>
  <c r="E305" i="8" s="1"/>
  <c r="J1039" i="5"/>
  <c r="J1342" i="5"/>
  <c r="J1379" i="5"/>
  <c r="I1742" i="5"/>
  <c r="I1780" i="5"/>
  <c r="I3336" i="5"/>
  <c r="I1817" i="5"/>
  <c r="I450" i="5"/>
  <c r="I29" i="6"/>
  <c r="I279" i="6"/>
  <c r="J1799" i="5"/>
  <c r="J491" i="5"/>
  <c r="J2630" i="5"/>
  <c r="E865" i="8" s="1"/>
  <c r="J1115" i="5"/>
  <c r="E199" i="8" s="1"/>
  <c r="J1030" i="5"/>
  <c r="I23" i="7"/>
  <c r="J1367" i="5"/>
  <c r="J2868" i="5"/>
  <c r="E907" i="8" s="1"/>
  <c r="J1870" i="5"/>
  <c r="E309" i="8" s="1"/>
  <c r="J1764" i="5"/>
  <c r="I594" i="5"/>
  <c r="I1357" i="5"/>
  <c r="I1923" i="5"/>
  <c r="J2651" i="5"/>
  <c r="E868" i="8" s="1"/>
  <c r="J2106" i="5"/>
  <c r="E344" i="8" s="1"/>
  <c r="I1709" i="5"/>
  <c r="J2018" i="5"/>
  <c r="I3704" i="5"/>
  <c r="I1385" i="5"/>
  <c r="I1293" i="5"/>
  <c r="I1653" i="5"/>
  <c r="I1674" i="5"/>
  <c r="J2620" i="5"/>
  <c r="E863" i="8" s="1"/>
  <c r="J2888" i="5"/>
  <c r="E911" i="8" s="1"/>
  <c r="J1229" i="5"/>
  <c r="J2098" i="5"/>
  <c r="J1858" i="5"/>
  <c r="E307" i="8" s="1"/>
  <c r="J485" i="5"/>
  <c r="J1785" i="5"/>
  <c r="J3026" i="5"/>
  <c r="I1700" i="5"/>
  <c r="I1720" i="5"/>
  <c r="I1363" i="5"/>
  <c r="I1416" i="5"/>
  <c r="I1607" i="5"/>
  <c r="J3575" i="5"/>
  <c r="J2768" i="5"/>
  <c r="E889" i="8" s="1"/>
  <c r="J2736" i="5"/>
  <c r="E882" i="8" s="1"/>
  <c r="J1180" i="5"/>
  <c r="J1792" i="5"/>
  <c r="I81" i="6"/>
  <c r="J2878" i="5"/>
  <c r="E909" i="8" s="1"/>
  <c r="J2331" i="5"/>
  <c r="E378" i="8" s="1"/>
  <c r="J2074" i="5"/>
  <c r="J2721" i="5"/>
  <c r="E879" i="8" s="1"/>
  <c r="J1927" i="5"/>
  <c r="E319" i="8" s="1"/>
  <c r="J2625" i="5"/>
  <c r="E864" i="8" s="1"/>
  <c r="J2763" i="5"/>
  <c r="E888" i="8" s="1"/>
  <c r="J1571" i="5"/>
  <c r="E258" i="8" s="1"/>
  <c r="J1932" i="5"/>
  <c r="E320" i="8" s="1"/>
  <c r="J967" i="5"/>
  <c r="I2226" i="5"/>
  <c r="I2712" i="5"/>
  <c r="I1629" i="5"/>
  <c r="J2853" i="5"/>
  <c r="E904" i="8" s="1"/>
  <c r="J1954" i="5"/>
  <c r="J2615" i="5"/>
  <c r="E862" i="8" s="1"/>
  <c r="I1731" i="5"/>
  <c r="I3639" i="5"/>
  <c r="I222" i="6"/>
  <c r="J3229" i="5"/>
  <c r="E969" i="8" s="1"/>
  <c r="J20" i="5"/>
  <c r="E9" i="8" s="1"/>
  <c r="I529" i="5"/>
  <c r="I2606" i="5"/>
  <c r="I1980" i="5"/>
  <c r="I1890" i="5"/>
  <c r="I1728" i="5"/>
  <c r="E233" i="8" l="1"/>
  <c r="E341" i="8"/>
  <c r="E335" i="8"/>
  <c r="E180" i="8"/>
  <c r="E209" i="8"/>
  <c r="E237" i="8"/>
  <c r="E189" i="8"/>
  <c r="E1069" i="8"/>
  <c r="E1112" i="8"/>
  <c r="E339" i="8"/>
  <c r="E340" i="8"/>
  <c r="E289" i="8"/>
  <c r="E1068" i="8"/>
  <c r="E101" i="8"/>
  <c r="E932" i="8"/>
  <c r="E343" i="8"/>
  <c r="E324" i="8"/>
  <c r="E285" i="8"/>
  <c r="E102" i="8"/>
  <c r="E288" i="8"/>
  <c r="E216" i="8"/>
  <c r="E333" i="8"/>
  <c r="E188" i="8"/>
  <c r="E290" i="8"/>
  <c r="E239" i="8"/>
  <c r="E106" i="8"/>
  <c r="E337" i="8"/>
  <c r="E114" i="8"/>
  <c r="E338" i="8"/>
  <c r="J2042" i="5"/>
  <c r="J678" i="5"/>
  <c r="I567" i="5"/>
  <c r="J1284" i="5"/>
  <c r="E224" i="8" s="1"/>
  <c r="J2026" i="5"/>
  <c r="J670" i="5"/>
  <c r="J571" i="5"/>
  <c r="J1888" i="5"/>
  <c r="E312" i="8" s="1"/>
  <c r="J2711" i="5"/>
  <c r="E877" i="8" s="1"/>
  <c r="I1446" i="5"/>
  <c r="I1021" i="5"/>
  <c r="I2358" i="5"/>
  <c r="J1361" i="5"/>
  <c r="I627" i="5"/>
  <c r="I1476" i="5"/>
  <c r="I1963" i="5"/>
  <c r="J1651" i="5"/>
  <c r="E270" i="8" s="1"/>
  <c r="J1385" i="5"/>
  <c r="E240" i="8" s="1"/>
  <c r="J448" i="5"/>
  <c r="J3334" i="5"/>
  <c r="E980" i="8" s="1"/>
  <c r="I1431" i="5"/>
  <c r="I903" i="5"/>
  <c r="I2308" i="5"/>
  <c r="I1680" i="5"/>
  <c r="I1878" i="5"/>
  <c r="J1921" i="5"/>
  <c r="E318" i="8" s="1"/>
  <c r="J590" i="5"/>
  <c r="J1815" i="5"/>
  <c r="E300" i="8" s="1"/>
  <c r="J1778" i="5"/>
  <c r="I1971" i="5"/>
  <c r="I892" i="5"/>
  <c r="J526" i="5"/>
  <c r="I2214" i="5"/>
  <c r="I3017" i="5"/>
  <c r="I1606" i="5"/>
  <c r="I1706" i="5"/>
  <c r="I779" i="5"/>
  <c r="J1291" i="5"/>
  <c r="E225" i="8" s="1"/>
  <c r="J1355" i="5"/>
  <c r="I1979" i="5"/>
  <c r="I2643" i="5"/>
  <c r="I2377" i="5"/>
  <c r="J2605" i="5"/>
  <c r="E860" i="8" s="1"/>
  <c r="J1628" i="5"/>
  <c r="E266" i="8" s="1"/>
  <c r="J2224" i="5"/>
  <c r="E363" i="8" s="1"/>
  <c r="I1944" i="5"/>
  <c r="I3486" i="5"/>
  <c r="I2348" i="5"/>
  <c r="J1672" i="5"/>
  <c r="E274" i="8" s="1"/>
  <c r="J3703" i="5"/>
  <c r="E1085" i="8" s="1"/>
  <c r="I1854" i="5"/>
  <c r="I3104" i="5"/>
  <c r="I1331" i="5"/>
  <c r="I1326" i="5"/>
  <c r="I1321" i="5"/>
  <c r="I1316" i="5"/>
  <c r="I3098" i="5"/>
  <c r="E235" i="8" l="1"/>
  <c r="E115" i="8"/>
  <c r="E287" i="8"/>
  <c r="E97" i="8"/>
  <c r="E334" i="8"/>
  <c r="E107" i="8"/>
  <c r="E129" i="8"/>
  <c r="E236" i="8"/>
  <c r="E113" i="8"/>
  <c r="E128" i="8"/>
  <c r="E336" i="8"/>
  <c r="I436" i="5"/>
  <c r="I1538" i="5"/>
  <c r="I3416" i="5"/>
  <c r="I1514" i="5"/>
  <c r="H1127" i="8"/>
  <c r="I1127" i="8" s="1"/>
  <c r="F1127" i="8"/>
  <c r="I1546" i="5"/>
  <c r="I1522" i="5"/>
  <c r="I348" i="5"/>
  <c r="I1553" i="5"/>
  <c r="I1506" i="5"/>
  <c r="I2976" i="5"/>
  <c r="J563" i="5"/>
  <c r="I2960" i="5"/>
  <c r="I1531" i="5"/>
  <c r="I1515" i="5"/>
  <c r="I1539" i="5"/>
  <c r="I2849" i="5"/>
  <c r="I2952" i="5"/>
  <c r="I1530" i="5"/>
  <c r="I1507" i="5"/>
  <c r="I2236" i="5"/>
  <c r="I1523" i="5"/>
  <c r="J1852" i="5"/>
  <c r="E306" i="8" s="1"/>
  <c r="I1681" i="5"/>
  <c r="I1401" i="5"/>
  <c r="J3011" i="5"/>
  <c r="J1876" i="5"/>
  <c r="E310" i="8" s="1"/>
  <c r="J2308" i="5"/>
  <c r="I1702" i="5"/>
  <c r="J2347" i="5"/>
  <c r="J1942" i="5"/>
  <c r="E322" i="8" s="1"/>
  <c r="J1604" i="5"/>
  <c r="E262" i="8" s="1"/>
  <c r="J1968" i="5"/>
  <c r="J901" i="5"/>
  <c r="E171" i="8" s="1"/>
  <c r="I1461" i="5"/>
  <c r="I1733" i="5"/>
  <c r="I1722" i="5"/>
  <c r="I893" i="5"/>
  <c r="I3306" i="5"/>
  <c r="I1491" i="5"/>
  <c r="J2212" i="5"/>
  <c r="E361" i="8" s="1"/>
  <c r="I1711" i="5"/>
  <c r="I3641" i="5"/>
  <c r="I2642" i="5"/>
  <c r="J1961" i="5"/>
  <c r="J623" i="5"/>
  <c r="J2355" i="5"/>
  <c r="I3246" i="5"/>
  <c r="J3486" i="5"/>
  <c r="E1018" i="8" s="1"/>
  <c r="J2375" i="5"/>
  <c r="E385" i="8" s="1"/>
  <c r="J1976" i="5"/>
  <c r="I2014" i="5"/>
  <c r="I3523" i="5"/>
  <c r="I1744" i="5"/>
  <c r="I780" i="5"/>
  <c r="J1020" i="5"/>
  <c r="I2841" i="5"/>
  <c r="I3271" i="5"/>
  <c r="I4404" i="5"/>
  <c r="I2411" i="5"/>
  <c r="I4403" i="5"/>
  <c r="I3436" i="5"/>
  <c r="I3417" i="5"/>
  <c r="J1325" i="5"/>
  <c r="I2427" i="5"/>
  <c r="I4271" i="5"/>
  <c r="I2986" i="5"/>
  <c r="I3980" i="5"/>
  <c r="I316" i="5"/>
  <c r="I3449" i="5"/>
  <c r="I300" i="5"/>
  <c r="I3450" i="5"/>
  <c r="I3684" i="5"/>
  <c r="I3683" i="5"/>
  <c r="I315" i="5"/>
  <c r="J1315" i="5"/>
  <c r="I3569" i="5"/>
  <c r="I292" i="5"/>
  <c r="I301" i="5"/>
  <c r="I307" i="5"/>
  <c r="I349" i="5"/>
  <c r="I4315" i="5"/>
  <c r="I2987" i="5"/>
  <c r="I4314" i="5"/>
  <c r="I2418" i="5"/>
  <c r="J3096" i="5"/>
  <c r="J1320" i="5"/>
  <c r="I4272" i="5"/>
  <c r="I361" i="5"/>
  <c r="I3568" i="5"/>
  <c r="I360" i="5"/>
  <c r="I3437" i="5"/>
  <c r="I4006" i="5"/>
  <c r="I2426" i="5"/>
  <c r="J3102" i="5"/>
  <c r="I4007" i="5"/>
  <c r="I3979" i="5"/>
  <c r="I2410" i="5"/>
  <c r="J1330" i="5"/>
  <c r="I2419" i="5"/>
  <c r="E228" i="8" l="1"/>
  <c r="E381" i="8"/>
  <c r="E930" i="8"/>
  <c r="E112" i="8"/>
  <c r="E231" i="8"/>
  <c r="E943" i="8"/>
  <c r="E229" i="8"/>
  <c r="E942" i="8"/>
  <c r="E187" i="8"/>
  <c r="E374" i="8"/>
  <c r="E327" i="8"/>
  <c r="E382" i="8"/>
  <c r="E230" i="8"/>
  <c r="E119" i="8"/>
  <c r="E325" i="8"/>
  <c r="E326" i="8"/>
  <c r="J1543" i="5"/>
  <c r="J436" i="5"/>
  <c r="F1238" i="8"/>
  <c r="H1238" i="8"/>
  <c r="I1238" i="8" s="1"/>
  <c r="H36" i="8"/>
  <c r="I36" i="8" s="1"/>
  <c r="F36" i="8"/>
  <c r="F13" i="8"/>
  <c r="H13" i="8"/>
  <c r="I13" i="8" s="1"/>
  <c r="F1046" i="8"/>
  <c r="H1046" i="8"/>
  <c r="I1046" i="8" s="1"/>
  <c r="F719" i="8"/>
  <c r="H719" i="8"/>
  <c r="I719" i="8" s="1"/>
  <c r="H48" i="8"/>
  <c r="I48" i="8" s="1"/>
  <c r="F48" i="8"/>
  <c r="H12" i="8"/>
  <c r="I12" i="8" s="1"/>
  <c r="F12" i="8"/>
  <c r="H14" i="8"/>
  <c r="I14" i="8" s="1"/>
  <c r="F14" i="8"/>
  <c r="H377" i="8"/>
  <c r="I377" i="8" s="1"/>
  <c r="F377" i="8"/>
  <c r="F31" i="8"/>
  <c r="H31" i="8"/>
  <c r="I31" i="8" s="1"/>
  <c r="H299" i="8"/>
  <c r="I299" i="8" s="1"/>
  <c r="F299" i="8"/>
  <c r="F316" i="8"/>
  <c r="H316" i="8"/>
  <c r="I316" i="8" s="1"/>
  <c r="H1109" i="8"/>
  <c r="I1109" i="8" s="1"/>
  <c r="F1109" i="8"/>
  <c r="F569" i="8"/>
  <c r="H569" i="8"/>
  <c r="I569" i="8" s="1"/>
  <c r="F154" i="8"/>
  <c r="H154" i="8"/>
  <c r="I154" i="8" s="1"/>
  <c r="F41" i="8"/>
  <c r="H41" i="8"/>
  <c r="I41" i="8" s="1"/>
  <c r="H716" i="8"/>
  <c r="I716" i="8" s="1"/>
  <c r="F716" i="8"/>
  <c r="F992" i="8"/>
  <c r="H992" i="8"/>
  <c r="I992" i="8" s="1"/>
  <c r="H46" i="8"/>
  <c r="I46" i="8" s="1"/>
  <c r="F46" i="8"/>
  <c r="H1121" i="8"/>
  <c r="I1121" i="8" s="1"/>
  <c r="F1121" i="8"/>
  <c r="H10" i="8"/>
  <c r="I10" i="8" s="1"/>
  <c r="F10" i="8"/>
  <c r="F871" i="8"/>
  <c r="H871" i="8"/>
  <c r="I871" i="8" s="1"/>
  <c r="F964" i="8"/>
  <c r="H964" i="8"/>
  <c r="I964" i="8" s="1"/>
  <c r="H720" i="8"/>
  <c r="I720" i="8" s="1"/>
  <c r="F720" i="8"/>
  <c r="F913" i="8"/>
  <c r="H913" i="8"/>
  <c r="I913" i="8" s="1"/>
  <c r="F715" i="8"/>
  <c r="H715" i="8"/>
  <c r="I715" i="8" s="1"/>
  <c r="H572" i="8"/>
  <c r="I572" i="8" s="1"/>
  <c r="F572" i="8"/>
  <c r="H975" i="8"/>
  <c r="I975" i="8" s="1"/>
  <c r="F975" i="8"/>
  <c r="F362" i="8"/>
  <c r="H362" i="8"/>
  <c r="I362" i="8" s="1"/>
  <c r="F298" i="8"/>
  <c r="H298" i="8"/>
  <c r="I298" i="8" s="1"/>
  <c r="F717" i="8"/>
  <c r="H717" i="8"/>
  <c r="I717" i="8" s="1"/>
  <c r="F51" i="8"/>
  <c r="H51" i="8"/>
  <c r="I51" i="8" s="1"/>
  <c r="H315" i="8"/>
  <c r="I315" i="8" s="1"/>
  <c r="F315" i="8"/>
  <c r="F900" i="8"/>
  <c r="H900" i="8"/>
  <c r="I900" i="8" s="1"/>
  <c r="F17" i="8"/>
  <c r="H17" i="8"/>
  <c r="I17" i="8" s="1"/>
  <c r="F35" i="8"/>
  <c r="H35" i="8"/>
  <c r="I35" i="8" s="1"/>
  <c r="H359" i="8"/>
  <c r="I359" i="8" s="1"/>
  <c r="F359" i="8"/>
  <c r="H1159" i="8"/>
  <c r="I1159" i="8" s="1"/>
  <c r="F1159" i="8"/>
  <c r="H153" i="8"/>
  <c r="I153" i="8" s="1"/>
  <c r="F153" i="8"/>
  <c r="H947" i="8"/>
  <c r="I947" i="8" s="1"/>
  <c r="F947" i="8"/>
  <c r="F923" i="8"/>
  <c r="H923" i="8"/>
  <c r="I923" i="8" s="1"/>
  <c r="H30" i="8"/>
  <c r="I30" i="8" s="1"/>
  <c r="F30" i="8"/>
  <c r="H570" i="8"/>
  <c r="I570" i="8" s="1"/>
  <c r="F570" i="8"/>
  <c r="F49" i="8"/>
  <c r="H49" i="8"/>
  <c r="I49" i="8" s="1"/>
  <c r="F201" i="8"/>
  <c r="H201" i="8"/>
  <c r="I201" i="8" s="1"/>
  <c r="F1160" i="8"/>
  <c r="H1160" i="8"/>
  <c r="I1160" i="8" s="1"/>
  <c r="F11" i="8"/>
  <c r="H11" i="8"/>
  <c r="I11" i="8" s="1"/>
  <c r="F21" i="8"/>
  <c r="H21" i="8"/>
  <c r="I21" i="8" s="1"/>
  <c r="F380" i="8"/>
  <c r="H380" i="8"/>
  <c r="I380" i="8" s="1"/>
  <c r="F186" i="8"/>
  <c r="H186" i="8"/>
  <c r="I186" i="8" s="1"/>
  <c r="H22" i="8"/>
  <c r="I22" i="8" s="1"/>
  <c r="F22" i="8"/>
  <c r="F581" i="8"/>
  <c r="H581" i="8"/>
  <c r="I581" i="8" s="1"/>
  <c r="H44" i="8"/>
  <c r="I44" i="8" s="1"/>
  <c r="F44" i="8"/>
  <c r="H42" i="8"/>
  <c r="I42" i="8" s="1"/>
  <c r="F42" i="8"/>
  <c r="F721" i="8"/>
  <c r="H721" i="8"/>
  <c r="I721" i="8" s="1"/>
  <c r="F713" i="8"/>
  <c r="H713" i="8"/>
  <c r="I713" i="8" s="1"/>
  <c r="F912" i="8"/>
  <c r="H912" i="8"/>
  <c r="I912" i="8" s="1"/>
  <c r="H568" i="8"/>
  <c r="I568" i="8" s="1"/>
  <c r="F568" i="8"/>
  <c r="H317" i="8"/>
  <c r="I317" i="8" s="1"/>
  <c r="F317" i="8"/>
  <c r="H981" i="8"/>
  <c r="I981" i="8" s="1"/>
  <c r="F981" i="8"/>
  <c r="F123" i="8"/>
  <c r="H123" i="8"/>
  <c r="I123" i="8" s="1"/>
  <c r="H375" i="8"/>
  <c r="I375" i="8" s="1"/>
  <c r="F375" i="8"/>
  <c r="F156" i="8"/>
  <c r="H156" i="8"/>
  <c r="I156" i="8" s="1"/>
  <c r="H714" i="8"/>
  <c r="I714" i="8" s="1"/>
  <c r="F714" i="8"/>
  <c r="F1171" i="8"/>
  <c r="H1171" i="8"/>
  <c r="I1171" i="8" s="1"/>
  <c r="H1107" i="8"/>
  <c r="I1107" i="8" s="1"/>
  <c r="F1107" i="8"/>
  <c r="F583" i="8"/>
  <c r="H583" i="8"/>
  <c r="I583" i="8" s="1"/>
  <c r="H122" i="8"/>
  <c r="I122" i="8" s="1"/>
  <c r="F122" i="8"/>
  <c r="H32" i="8"/>
  <c r="I32" i="8" s="1"/>
  <c r="F32" i="8"/>
  <c r="H1123" i="8"/>
  <c r="I1123" i="8" s="1"/>
  <c r="F1123" i="8"/>
  <c r="F25" i="8"/>
  <c r="H25" i="8"/>
  <c r="I25" i="8" s="1"/>
  <c r="F15" i="8"/>
  <c r="H15" i="8"/>
  <c r="I15" i="8" s="1"/>
  <c r="F125" i="8"/>
  <c r="H125" i="8"/>
  <c r="I125" i="8" s="1"/>
  <c r="H26" i="8"/>
  <c r="I26" i="8" s="1"/>
  <c r="F26" i="8"/>
  <c r="H126" i="8"/>
  <c r="I126" i="8" s="1"/>
  <c r="F126" i="8"/>
  <c r="F37" i="8"/>
  <c r="H37" i="8"/>
  <c r="I37" i="8" s="1"/>
  <c r="F39" i="8"/>
  <c r="H39" i="8"/>
  <c r="I39" i="8" s="1"/>
  <c r="F33" i="8"/>
  <c r="H33" i="8"/>
  <c r="I33" i="8" s="1"/>
  <c r="F164" i="8"/>
  <c r="H164" i="8"/>
  <c r="I164" i="8" s="1"/>
  <c r="H718" i="8"/>
  <c r="I718" i="8" s="1"/>
  <c r="F718" i="8"/>
  <c r="H722" i="8"/>
  <c r="I722" i="8" s="1"/>
  <c r="F722" i="8"/>
  <c r="H961" i="8"/>
  <c r="I961" i="8" s="1"/>
  <c r="F961" i="8"/>
  <c r="F27" i="8"/>
  <c r="H27" i="8"/>
  <c r="I27" i="8" s="1"/>
  <c r="F952" i="8"/>
  <c r="H952" i="8"/>
  <c r="I952" i="8" s="1"/>
  <c r="F7" i="8"/>
  <c r="H7" i="8"/>
  <c r="I7" i="8" s="1"/>
  <c r="H957" i="8"/>
  <c r="I957" i="8" s="1"/>
  <c r="F957" i="8"/>
  <c r="F1184" i="8"/>
  <c r="H1184" i="8"/>
  <c r="I1184" i="8" s="1"/>
  <c r="H124" i="8"/>
  <c r="I124" i="8" s="1"/>
  <c r="F124" i="8"/>
  <c r="F152" i="8"/>
  <c r="H152" i="8"/>
  <c r="I152" i="8" s="1"/>
  <c r="F908" i="8"/>
  <c r="H908" i="8"/>
  <c r="I908" i="8" s="1"/>
  <c r="F47" i="8"/>
  <c r="H47" i="8"/>
  <c r="I47" i="8" s="1"/>
  <c r="F23" i="8"/>
  <c r="H23" i="8"/>
  <c r="I23" i="8" s="1"/>
  <c r="H28" i="8"/>
  <c r="I28" i="8" s="1"/>
  <c r="F28" i="8"/>
  <c r="H894" i="8"/>
  <c r="I894" i="8" s="1"/>
  <c r="F894" i="8"/>
  <c r="H24" i="8"/>
  <c r="I24" i="8" s="1"/>
  <c r="F24" i="8"/>
  <c r="F988" i="8"/>
  <c r="H988" i="8"/>
  <c r="I988" i="8" s="1"/>
  <c r="F873" i="8"/>
  <c r="H873" i="8"/>
  <c r="I873" i="8" s="1"/>
  <c r="H890" i="8"/>
  <c r="I890" i="8" s="1"/>
  <c r="F890" i="8"/>
  <c r="F43" i="8"/>
  <c r="H43" i="8"/>
  <c r="I43" i="8" s="1"/>
  <c r="J1550" i="5"/>
  <c r="J2973" i="5"/>
  <c r="J1511" i="5"/>
  <c r="J1535" i="5"/>
  <c r="J1503" i="5"/>
  <c r="J1519" i="5"/>
  <c r="I302" i="6"/>
  <c r="J2845" i="5"/>
  <c r="J1527" i="5"/>
  <c r="J2948" i="5"/>
  <c r="J2956" i="5"/>
  <c r="J1706" i="5"/>
  <c r="J1678" i="5"/>
  <c r="J890" i="5"/>
  <c r="J777" i="5"/>
  <c r="E148" i="8" s="1"/>
  <c r="I1311" i="5"/>
  <c r="J2840" i="5"/>
  <c r="E902" i="8" s="1"/>
  <c r="J3522" i="5"/>
  <c r="E1058" i="8" s="1"/>
  <c r="J2640" i="5"/>
  <c r="J1717" i="5"/>
  <c r="J1728" i="5"/>
  <c r="I635" i="5"/>
  <c r="J1739" i="5"/>
  <c r="J2012" i="5"/>
  <c r="E332" i="8" s="1"/>
  <c r="J3638" i="5"/>
  <c r="J1698" i="5"/>
  <c r="J3408" i="5"/>
  <c r="J3970" i="5"/>
  <c r="J2425" i="5"/>
  <c r="E575" i="8" s="1"/>
  <c r="J353" i="5"/>
  <c r="E87" i="8" s="1"/>
  <c r="J2417" i="5"/>
  <c r="E574" i="8" s="1"/>
  <c r="J3677" i="5"/>
  <c r="J4259" i="5"/>
  <c r="E1168" i="8" s="1"/>
  <c r="J343" i="5"/>
  <c r="J2409" i="5"/>
  <c r="E573" i="8" s="1"/>
  <c r="J3986" i="5"/>
  <c r="E1135" i="8" s="1"/>
  <c r="J3563" i="5"/>
  <c r="E1067" i="8" s="1"/>
  <c r="J4309" i="5"/>
  <c r="E1173" i="8" s="1"/>
  <c r="J307" i="5"/>
  <c r="J292" i="5"/>
  <c r="J3443" i="5"/>
  <c r="J2980" i="5"/>
  <c r="J4402" i="5"/>
  <c r="E1185" i="8" s="1"/>
  <c r="E1082" i="8" l="1"/>
  <c r="E1134" i="8"/>
  <c r="E278" i="8"/>
  <c r="E165" i="8"/>
  <c r="E95" i="8"/>
  <c r="E82" i="8"/>
  <c r="E921" i="8"/>
  <c r="E925" i="8"/>
  <c r="E83" i="8"/>
  <c r="E994" i="8"/>
  <c r="E1076" i="8"/>
  <c r="E281" i="8"/>
  <c r="E275" i="8"/>
  <c r="E252" i="8"/>
  <c r="E249" i="8"/>
  <c r="E255" i="8"/>
  <c r="E254" i="8"/>
  <c r="E251" i="8"/>
  <c r="E926" i="8"/>
  <c r="E279" i="8"/>
  <c r="E903" i="8"/>
  <c r="E253" i="8"/>
  <c r="E86" i="8"/>
  <c r="E280" i="8"/>
  <c r="E997" i="8"/>
  <c r="E282" i="8"/>
  <c r="E867" i="8"/>
  <c r="E922" i="8"/>
  <c r="E250" i="8"/>
  <c r="H1125" i="8"/>
  <c r="I1125" i="8" s="1"/>
  <c r="F1125" i="8"/>
  <c r="F849" i="8"/>
  <c r="H849" i="8"/>
  <c r="I849" i="8" s="1"/>
  <c r="H985" i="8"/>
  <c r="I985" i="8" s="1"/>
  <c r="F985" i="8"/>
  <c r="H118" i="8"/>
  <c r="I118" i="8" s="1"/>
  <c r="F118" i="8"/>
  <c r="F213" i="8"/>
  <c r="H213" i="8"/>
  <c r="I213" i="8" s="1"/>
  <c r="H1139" i="8"/>
  <c r="I1139" i="8" s="1"/>
  <c r="F1139" i="8"/>
  <c r="F910" i="8"/>
  <c r="H910" i="8"/>
  <c r="I910" i="8" s="1"/>
  <c r="F286" i="8"/>
  <c r="H286" i="8"/>
  <c r="I286" i="8" s="1"/>
  <c r="F29" i="8"/>
  <c r="H29" i="8"/>
  <c r="I29" i="8" s="1"/>
  <c r="H1155" i="8"/>
  <c r="I1155" i="8" s="1"/>
  <c r="F1155" i="8"/>
  <c r="H1131" i="8"/>
  <c r="I1131" i="8" s="1"/>
  <c r="F1131" i="8"/>
  <c r="F302" i="8"/>
  <c r="H302" i="8"/>
  <c r="I302" i="8" s="1"/>
  <c r="H880" i="8"/>
  <c r="I880" i="8" s="1"/>
  <c r="F880" i="8"/>
  <c r="H191" i="8"/>
  <c r="I191" i="8" s="1"/>
  <c r="F191" i="8"/>
  <c r="H323" i="8"/>
  <c r="I323" i="8" s="1"/>
  <c r="F323" i="8"/>
  <c r="H272" i="8"/>
  <c r="I272" i="8" s="1"/>
  <c r="F272" i="8"/>
  <c r="F184" i="8"/>
  <c r="H184" i="8"/>
  <c r="I184" i="8" s="1"/>
  <c r="F906" i="8"/>
  <c r="H906" i="8"/>
  <c r="I906" i="8" s="1"/>
  <c r="F221" i="8"/>
  <c r="H221" i="8"/>
  <c r="I221" i="8" s="1"/>
  <c r="F304" i="8"/>
  <c r="H304" i="8"/>
  <c r="I304" i="8" s="1"/>
  <c r="F859" i="8"/>
  <c r="H859" i="8"/>
  <c r="I859" i="8" s="1"/>
  <c r="H212" i="8"/>
  <c r="I212" i="8" s="1"/>
  <c r="F212" i="8"/>
  <c r="H50" i="8"/>
  <c r="I50" i="8" s="1"/>
  <c r="F50" i="8"/>
  <c r="H1119" i="8"/>
  <c r="I1119" i="8" s="1"/>
  <c r="F1119" i="8"/>
  <c r="F384" i="8"/>
  <c r="H384" i="8"/>
  <c r="I384" i="8" s="1"/>
  <c r="H78" i="8"/>
  <c r="I78" i="8" s="1"/>
  <c r="F78" i="8"/>
  <c r="F360" i="8"/>
  <c r="H360" i="8"/>
  <c r="I360" i="8" s="1"/>
  <c r="F370" i="8"/>
  <c r="H370" i="8"/>
  <c r="I370" i="8" s="1"/>
  <c r="F936" i="8"/>
  <c r="H936" i="8"/>
  <c r="I936" i="8" s="1"/>
  <c r="F895" i="8"/>
  <c r="H895" i="8"/>
  <c r="I895" i="8" s="1"/>
  <c r="H870" i="8"/>
  <c r="I870" i="8" s="1"/>
  <c r="F870" i="8"/>
  <c r="H1143" i="8"/>
  <c r="I1143" i="8" s="1"/>
  <c r="F1143" i="8"/>
  <c r="H941" i="8"/>
  <c r="I941" i="8" s="1"/>
  <c r="F941" i="8"/>
  <c r="H1017" i="8"/>
  <c r="I1017" i="8" s="1"/>
  <c r="F1017" i="8"/>
  <c r="F75" i="8"/>
  <c r="H75" i="8"/>
  <c r="I75" i="8" s="1"/>
  <c r="H8" i="8"/>
  <c r="I8" i="8" s="1"/>
  <c r="F8" i="8"/>
  <c r="H161" i="8"/>
  <c r="I161" i="8" s="1"/>
  <c r="F161" i="8"/>
  <c r="H355" i="8"/>
  <c r="I355" i="8" s="1"/>
  <c r="F355" i="8"/>
  <c r="F263" i="8"/>
  <c r="H263" i="8"/>
  <c r="I263" i="8" s="1"/>
  <c r="F875" i="8"/>
  <c r="H875" i="8"/>
  <c r="I875" i="8" s="1"/>
  <c r="F962" i="8"/>
  <c r="H962" i="8"/>
  <c r="I962" i="8" s="1"/>
  <c r="H98" i="8"/>
  <c r="I98" i="8" s="1"/>
  <c r="F98" i="8"/>
  <c r="F144" i="8"/>
  <c r="H144" i="8"/>
  <c r="I144" i="8" s="1"/>
  <c r="H206" i="8"/>
  <c r="I206" i="8" s="1"/>
  <c r="F206" i="8"/>
  <c r="F1170" i="8"/>
  <c r="H1170" i="8"/>
  <c r="I1170" i="8" s="1"/>
  <c r="F919" i="8"/>
  <c r="H919" i="8"/>
  <c r="I919" i="8" s="1"/>
  <c r="F1178" i="8"/>
  <c r="H1178" i="8"/>
  <c r="I1178" i="8" s="1"/>
  <c r="H313" i="8"/>
  <c r="I313" i="8" s="1"/>
  <c r="F313" i="8"/>
  <c r="F205" i="8"/>
  <c r="H205" i="8"/>
  <c r="I205" i="8" s="1"/>
  <c r="F571" i="8"/>
  <c r="H571" i="8"/>
  <c r="I571" i="8" s="1"/>
  <c r="H1141" i="8"/>
  <c r="I1141" i="8" s="1"/>
  <c r="F1141" i="8"/>
  <c r="H183" i="8"/>
  <c r="I183" i="8" s="1"/>
  <c r="F183" i="8"/>
  <c r="H151" i="8"/>
  <c r="I151" i="8" s="1"/>
  <c r="F151" i="8"/>
  <c r="F899" i="8"/>
  <c r="H899" i="8"/>
  <c r="I899" i="8" s="1"/>
  <c r="F940" i="8"/>
  <c r="H940" i="8"/>
  <c r="I940" i="8" s="1"/>
  <c r="F939" i="8"/>
  <c r="H939" i="8"/>
  <c r="I939" i="8" s="1"/>
  <c r="F855" i="8"/>
  <c r="H855" i="8"/>
  <c r="I855" i="8" s="1"/>
  <c r="H983" i="8"/>
  <c r="I983" i="8" s="1"/>
  <c r="F983" i="8"/>
  <c r="F857" i="8"/>
  <c r="H857" i="8"/>
  <c r="I857" i="8" s="1"/>
  <c r="F956" i="8"/>
  <c r="H956" i="8"/>
  <c r="I956" i="8" s="1"/>
  <c r="H159" i="8"/>
  <c r="I159" i="8" s="1"/>
  <c r="F159" i="8"/>
  <c r="H195" i="8"/>
  <c r="I195" i="8" s="1"/>
  <c r="F195" i="8"/>
  <c r="H850" i="8"/>
  <c r="I850" i="8" s="1"/>
  <c r="F850" i="8"/>
  <c r="F918" i="8"/>
  <c r="H918" i="8"/>
  <c r="I918" i="8" s="1"/>
  <c r="H34" i="8"/>
  <c r="I34" i="8" s="1"/>
  <c r="F34" i="8"/>
  <c r="F1144" i="8"/>
  <c r="H1144" i="8"/>
  <c r="I1144" i="8" s="1"/>
  <c r="H874" i="8"/>
  <c r="I874" i="8" s="1"/>
  <c r="F874" i="8"/>
  <c r="H1117" i="8"/>
  <c r="I1117" i="8" s="1"/>
  <c r="F1117" i="8"/>
  <c r="H157" i="8"/>
  <c r="I157" i="8" s="1"/>
  <c r="F157" i="8"/>
  <c r="F133" i="8"/>
  <c r="H133" i="8"/>
  <c r="I133" i="8" s="1"/>
  <c r="F1142" i="8"/>
  <c r="H1142" i="8"/>
  <c r="I1142" i="8" s="1"/>
  <c r="H84" i="8"/>
  <c r="I84" i="8" s="1"/>
  <c r="F84" i="8"/>
  <c r="H578" i="8"/>
  <c r="I578" i="8" s="1"/>
  <c r="F578" i="8"/>
  <c r="F158" i="8"/>
  <c r="H158" i="8"/>
  <c r="I158" i="8" s="1"/>
  <c r="F881" i="8"/>
  <c r="H881" i="8"/>
  <c r="I881" i="8" s="1"/>
  <c r="F1156" i="8"/>
  <c r="H1156" i="8"/>
  <c r="I1156" i="8" s="1"/>
  <c r="F143" i="8"/>
  <c r="H143" i="8"/>
  <c r="I143" i="8" s="1"/>
  <c r="H104" i="8"/>
  <c r="I104" i="8" s="1"/>
  <c r="F104" i="8"/>
  <c r="H1095" i="8"/>
  <c r="I1095" i="8" s="1"/>
  <c r="F1095" i="8"/>
  <c r="H937" i="8"/>
  <c r="I937" i="8" s="1"/>
  <c r="F937" i="8"/>
  <c r="H886" i="8"/>
  <c r="I886" i="8" s="1"/>
  <c r="F886" i="8"/>
  <c r="H892" i="8"/>
  <c r="I892" i="8" s="1"/>
  <c r="F892" i="8"/>
  <c r="H1115" i="8"/>
  <c r="I1115" i="8" s="1"/>
  <c r="F1115" i="8"/>
  <c r="F916" i="8"/>
  <c r="H916" i="8"/>
  <c r="I916" i="8" s="1"/>
  <c r="H100" i="8"/>
  <c r="I100" i="8" s="1"/>
  <c r="F100" i="8"/>
  <c r="H108" i="8"/>
  <c r="I108" i="8" s="1"/>
  <c r="F108" i="8"/>
  <c r="H1133" i="8"/>
  <c r="I1133" i="8" s="1"/>
  <c r="F1133" i="8"/>
  <c r="F284" i="8"/>
  <c r="H284" i="8"/>
  <c r="I284" i="8" s="1"/>
  <c r="F1116" i="8"/>
  <c r="H1116" i="8"/>
  <c r="I1116" i="8" s="1"/>
  <c r="H379" i="8"/>
  <c r="I379" i="8" s="1"/>
  <c r="F379" i="8"/>
  <c r="H311" i="8"/>
  <c r="I311" i="8" s="1"/>
  <c r="F311" i="8"/>
  <c r="F356" i="8"/>
  <c r="H356" i="8"/>
  <c r="I356" i="8" s="1"/>
  <c r="F308" i="8"/>
  <c r="H308" i="8"/>
  <c r="I308" i="8" s="1"/>
  <c r="H989" i="8"/>
  <c r="I989" i="8" s="1"/>
  <c r="F989" i="8"/>
  <c r="F1118" i="8"/>
  <c r="H1118" i="8"/>
  <c r="I1118" i="8" s="1"/>
  <c r="F45" i="8"/>
  <c r="H45" i="8"/>
  <c r="I45" i="8" s="1"/>
  <c r="H226" i="8"/>
  <c r="I226" i="8" s="1"/>
  <c r="F226" i="8"/>
  <c r="H222" i="8"/>
  <c r="I222" i="8" s="1"/>
  <c r="F222" i="8"/>
  <c r="F897" i="8"/>
  <c r="H897" i="8"/>
  <c r="I897" i="8" s="1"/>
  <c r="H1097" i="8"/>
  <c r="I1097" i="8" s="1"/>
  <c r="F1097" i="8"/>
  <c r="H62" i="8"/>
  <c r="I62" i="8" s="1"/>
  <c r="F62" i="8"/>
  <c r="F172" i="8"/>
  <c r="H172" i="8"/>
  <c r="I172" i="8" s="1"/>
  <c r="H1129" i="8"/>
  <c r="I1129" i="8" s="1"/>
  <c r="F1129" i="8"/>
  <c r="F217" i="8"/>
  <c r="H217" i="8"/>
  <c r="I217" i="8" s="1"/>
  <c r="F920" i="8"/>
  <c r="H920" i="8"/>
  <c r="I920" i="8" s="1"/>
  <c r="H953" i="8"/>
  <c r="I953" i="8" s="1"/>
  <c r="F953" i="8"/>
  <c r="F192" i="8"/>
  <c r="H192" i="8"/>
  <c r="I192" i="8" s="1"/>
  <c r="F1138" i="8"/>
  <c r="H1138" i="8"/>
  <c r="I1138" i="8" s="1"/>
  <c r="H1083" i="8"/>
  <c r="I1083" i="8" s="1"/>
  <c r="F1083" i="8"/>
  <c r="H991" i="8"/>
  <c r="I991" i="8" s="1"/>
  <c r="F991" i="8"/>
  <c r="H896" i="8"/>
  <c r="I896" i="8" s="1"/>
  <c r="F896" i="8"/>
  <c r="H872" i="8"/>
  <c r="I872" i="8" s="1"/>
  <c r="F872" i="8"/>
  <c r="H905" i="8"/>
  <c r="I905" i="8" s="1"/>
  <c r="F905" i="8"/>
  <c r="H149" i="8"/>
  <c r="I149" i="8" s="1"/>
  <c r="F149" i="8"/>
  <c r="H866" i="8"/>
  <c r="I866" i="8" s="1"/>
  <c r="F866" i="8"/>
  <c r="H586" i="8"/>
  <c r="I586" i="8" s="1"/>
  <c r="F586" i="8"/>
  <c r="H1137" i="8"/>
  <c r="I1137" i="8" s="1"/>
  <c r="F1137" i="8"/>
  <c r="H965" i="8"/>
  <c r="I965" i="8" s="1"/>
  <c r="F965" i="8"/>
  <c r="F577" i="8"/>
  <c r="H577" i="8"/>
  <c r="I577" i="8" s="1"/>
  <c r="H177" i="8"/>
  <c r="I177" i="8" s="1"/>
  <c r="F177" i="8"/>
  <c r="F1164" i="8"/>
  <c r="H1164" i="8"/>
  <c r="I1164" i="8" s="1"/>
  <c r="H576" i="8"/>
  <c r="I576" i="8" s="1"/>
  <c r="F576" i="8"/>
  <c r="F1148" i="8"/>
  <c r="H1148" i="8"/>
  <c r="I1148" i="8" s="1"/>
  <c r="F342" i="8"/>
  <c r="H342" i="8"/>
  <c r="I342" i="8" s="1"/>
  <c r="H878" i="8"/>
  <c r="I878" i="8" s="1"/>
  <c r="F878" i="8"/>
  <c r="F198" i="8"/>
  <c r="H198" i="8"/>
  <c r="I198" i="8" s="1"/>
  <c r="F1122" i="8"/>
  <c r="H1122" i="8"/>
  <c r="I1122" i="8" s="1"/>
  <c r="F277" i="8"/>
  <c r="H277" i="8"/>
  <c r="I277" i="8" s="1"/>
  <c r="F85" i="8"/>
  <c r="H85" i="8"/>
  <c r="I85" i="8" s="1"/>
  <c r="H1145" i="8"/>
  <c r="I1145" i="8" s="1"/>
  <c r="F1145" i="8"/>
  <c r="H38" i="8"/>
  <c r="I38" i="8" s="1"/>
  <c r="F38" i="8"/>
  <c r="F1166" i="8"/>
  <c r="H1166" i="8"/>
  <c r="I1166" i="8" s="1"/>
  <c r="F893" i="8"/>
  <c r="H893" i="8"/>
  <c r="I893" i="8" s="1"/>
  <c r="H898" i="8"/>
  <c r="I898" i="8" s="1"/>
  <c r="F898" i="8"/>
  <c r="H858" i="8"/>
  <c r="I858" i="8" s="1"/>
  <c r="F858" i="8"/>
  <c r="F1146" i="8"/>
  <c r="H1146" i="8"/>
  <c r="I1146" i="8" s="1"/>
  <c r="F861" i="8"/>
  <c r="H861" i="8"/>
  <c r="I861" i="8" s="1"/>
  <c r="F1163" i="8"/>
  <c r="H1163" i="8"/>
  <c r="I1163" i="8" s="1"/>
  <c r="F924" i="8"/>
  <c r="H924" i="8"/>
  <c r="I924" i="8" s="1"/>
  <c r="F99" i="8"/>
  <c r="H99" i="8"/>
  <c r="I99" i="8" s="1"/>
  <c r="H1081" i="8"/>
  <c r="I1081" i="8" s="1"/>
  <c r="F1081" i="8"/>
  <c r="F1169" i="8"/>
  <c r="H1169" i="8"/>
  <c r="I1169" i="8" s="1"/>
  <c r="H18" i="8"/>
  <c r="I18" i="8" s="1"/>
  <c r="F18" i="8"/>
  <c r="H963" i="8"/>
  <c r="I963" i="8" s="1"/>
  <c r="F963" i="8"/>
  <c r="F1237" i="8"/>
  <c r="H1237" i="8"/>
  <c r="I1237" i="8" s="1"/>
  <c r="H1073" i="8"/>
  <c r="I1073" i="8" s="1"/>
  <c r="F1073" i="8"/>
  <c r="F934" i="8"/>
  <c r="H934" i="8"/>
  <c r="I934" i="8" s="1"/>
  <c r="H584" i="8"/>
  <c r="I584" i="8" s="1"/>
  <c r="F584" i="8"/>
  <c r="H321" i="8"/>
  <c r="I321" i="8" s="1"/>
  <c r="F321" i="8"/>
  <c r="F166" i="8"/>
  <c r="H166" i="8"/>
  <c r="I166" i="8" s="1"/>
  <c r="H945" i="8"/>
  <c r="I945" i="8" s="1"/>
  <c r="F945" i="8"/>
  <c r="F1110" i="8"/>
  <c r="H1110" i="8"/>
  <c r="I1110" i="8" s="1"/>
  <c r="F88" i="8"/>
  <c r="H88" i="8"/>
  <c r="I88" i="8" s="1"/>
  <c r="H582" i="8"/>
  <c r="I582" i="8" s="1"/>
  <c r="F582" i="8"/>
  <c r="H580" i="8"/>
  <c r="I580" i="8" s="1"/>
  <c r="F580" i="8"/>
  <c r="F190" i="8"/>
  <c r="H190" i="8"/>
  <c r="I190" i="8" s="1"/>
  <c r="F211" i="8"/>
  <c r="H211" i="8"/>
  <c r="I211" i="8" s="1"/>
  <c r="F915" i="8"/>
  <c r="H915" i="8"/>
  <c r="I915" i="8" s="1"/>
  <c r="F1120" i="8"/>
  <c r="H1120" i="8"/>
  <c r="I1120" i="8" s="1"/>
  <c r="H351" i="8"/>
  <c r="I351" i="8" s="1"/>
  <c r="F351" i="8"/>
  <c r="F196" i="8"/>
  <c r="H196" i="8"/>
  <c r="I196" i="8" s="1"/>
  <c r="H353" i="8"/>
  <c r="I353" i="8" s="1"/>
  <c r="F353" i="8"/>
  <c r="H901" i="8"/>
  <c r="I901" i="8" s="1"/>
  <c r="F901" i="8"/>
  <c r="H856" i="8"/>
  <c r="I856" i="8" s="1"/>
  <c r="F856" i="8"/>
  <c r="F346" i="8"/>
  <c r="H346" i="8"/>
  <c r="I346" i="8" s="1"/>
  <c r="F223" i="8"/>
  <c r="H223" i="8"/>
  <c r="I223" i="8" s="1"/>
  <c r="H876" i="8"/>
  <c r="I876" i="8" s="1"/>
  <c r="F876" i="8"/>
  <c r="F869" i="8"/>
  <c r="H869" i="8"/>
  <c r="I869" i="8" s="1"/>
  <c r="F330" i="8"/>
  <c r="H330" i="8"/>
  <c r="I330" i="8" s="1"/>
  <c r="H884" i="8"/>
  <c r="I884" i="8" s="1"/>
  <c r="F884" i="8"/>
  <c r="H367" i="8"/>
  <c r="I367" i="8" s="1"/>
  <c r="F367" i="8"/>
  <c r="F891" i="8"/>
  <c r="H891" i="8"/>
  <c r="I891" i="8" s="1"/>
  <c r="F1172" i="8"/>
  <c r="H1172" i="8"/>
  <c r="I1172" i="8" s="1"/>
  <c r="F585" i="8"/>
  <c r="H585" i="8"/>
  <c r="I585" i="8" s="1"/>
  <c r="H977" i="8"/>
  <c r="I977" i="8" s="1"/>
  <c r="F977" i="8"/>
  <c r="H1113" i="8"/>
  <c r="I1113" i="8" s="1"/>
  <c r="F1113" i="8"/>
  <c r="F200" i="8"/>
  <c r="H200" i="8"/>
  <c r="I200" i="8" s="1"/>
  <c r="F271" i="8"/>
  <c r="H271" i="8"/>
  <c r="I271" i="8" s="1"/>
  <c r="F914" i="8"/>
  <c r="H914" i="8"/>
  <c r="I914" i="8" s="1"/>
  <c r="H1077" i="8"/>
  <c r="I1077" i="8" s="1"/>
  <c r="F1077" i="8"/>
  <c r="H301" i="8"/>
  <c r="I301" i="8" s="1"/>
  <c r="F301" i="8"/>
  <c r="H365" i="8"/>
  <c r="I365" i="8" s="1"/>
  <c r="F365" i="8"/>
  <c r="H1093" i="8"/>
  <c r="I1093" i="8" s="1"/>
  <c r="F1093" i="8"/>
  <c r="H40" i="8"/>
  <c r="I40" i="8" s="1"/>
  <c r="F40" i="8"/>
  <c r="F203" i="8"/>
  <c r="H203" i="8"/>
  <c r="I203" i="8" s="1"/>
  <c r="F917" i="8"/>
  <c r="H917" i="8"/>
  <c r="I917" i="8" s="1"/>
  <c r="F885" i="8"/>
  <c r="H885" i="8"/>
  <c r="I885" i="8" s="1"/>
  <c r="F933" i="8"/>
  <c r="H933" i="8"/>
  <c r="I933" i="8" s="1"/>
  <c r="F354" i="8"/>
  <c r="H354" i="8"/>
  <c r="I354" i="8" s="1"/>
  <c r="F1182" i="8"/>
  <c r="H1182" i="8"/>
  <c r="I1182" i="8" s="1"/>
  <c r="F935" i="8"/>
  <c r="H935" i="8"/>
  <c r="I935" i="8" s="1"/>
  <c r="F982" i="8"/>
  <c r="H982" i="8"/>
  <c r="I982" i="8" s="1"/>
  <c r="F883" i="8"/>
  <c r="H883" i="8"/>
  <c r="I883" i="8" s="1"/>
  <c r="H993" i="8"/>
  <c r="I993" i="8" s="1"/>
  <c r="F993" i="8"/>
  <c r="H347" i="8"/>
  <c r="I347" i="8" s="1"/>
  <c r="F347" i="8"/>
  <c r="F1136" i="8"/>
  <c r="H1136" i="8"/>
  <c r="I1136" i="8" s="1"/>
  <c r="F1181" i="8"/>
  <c r="H1181" i="8"/>
  <c r="I1181" i="8" s="1"/>
  <c r="F1177" i="8"/>
  <c r="H1177" i="8"/>
  <c r="I1177" i="8" s="1"/>
  <c r="F1165" i="8"/>
  <c r="H1165" i="8"/>
  <c r="I1165" i="8" s="1"/>
  <c r="H303" i="8"/>
  <c r="I303" i="8" s="1"/>
  <c r="F303" i="8"/>
  <c r="H276" i="8"/>
  <c r="I276" i="8" s="1"/>
  <c r="F276" i="8"/>
  <c r="F1094" i="8"/>
  <c r="H1094" i="8"/>
  <c r="I1094" i="8" s="1"/>
  <c r="F1154" i="8"/>
  <c r="H1154" i="8"/>
  <c r="I1154" i="8" s="1"/>
  <c r="F273" i="8"/>
  <c r="H273" i="8"/>
  <c r="I273" i="8" s="1"/>
  <c r="F1130" i="8"/>
  <c r="H1130" i="8"/>
  <c r="I1130" i="8" s="1"/>
  <c r="H16" i="8"/>
  <c r="I16" i="8" s="1"/>
  <c r="F16" i="8"/>
  <c r="F579" i="8"/>
  <c r="H579" i="8"/>
  <c r="I579" i="8" s="1"/>
  <c r="F1176" i="8"/>
  <c r="H1176" i="8"/>
  <c r="I1176" i="8" s="1"/>
  <c r="F6" i="8"/>
  <c r="J1306" i="5"/>
  <c r="J631" i="5"/>
  <c r="I291" i="6"/>
  <c r="I88" i="6"/>
  <c r="I227" i="6"/>
  <c r="I71" i="6"/>
  <c r="I50" i="6"/>
  <c r="I269" i="6"/>
  <c r="I170" i="6"/>
  <c r="I255" i="6"/>
  <c r="I316" i="6"/>
  <c r="I330" i="6"/>
  <c r="I241" i="6"/>
  <c r="I8" i="6"/>
  <c r="I156" i="6"/>
  <c r="I98" i="6"/>
  <c r="I344" i="6"/>
  <c r="E227" i="8" l="1"/>
  <c r="E120" i="8"/>
  <c r="H114" i="8"/>
  <c r="I114" i="8" s="1"/>
  <c r="F114" i="8"/>
  <c r="F958" i="8"/>
  <c r="H958" i="8"/>
  <c r="I958" i="8" s="1"/>
  <c r="F81" i="8"/>
  <c r="H81" i="8"/>
  <c r="I81" i="8" s="1"/>
  <c r="H134" i="8"/>
  <c r="I134" i="8" s="1"/>
  <c r="F134" i="8"/>
  <c r="H163" i="8"/>
  <c r="I163" i="8" s="1"/>
  <c r="F163" i="8"/>
  <c r="H283" i="8"/>
  <c r="I283" i="8" s="1"/>
  <c r="F283" i="8"/>
  <c r="F372" i="8"/>
  <c r="H372" i="8"/>
  <c r="I372" i="8" s="1"/>
  <c r="H949" i="8"/>
  <c r="I949" i="8" s="1"/>
  <c r="F949" i="8"/>
  <c r="F904" i="8"/>
  <c r="H904" i="8"/>
  <c r="I904" i="8" s="1"/>
  <c r="F1106" i="8"/>
  <c r="H1106" i="8"/>
  <c r="I1106" i="8" s="1"/>
  <c r="H862" i="8"/>
  <c r="I862" i="8" s="1"/>
  <c r="F862" i="8"/>
  <c r="F146" i="8"/>
  <c r="H146" i="8"/>
  <c r="I146" i="8" s="1"/>
  <c r="H220" i="8"/>
  <c r="I220" i="8" s="1"/>
  <c r="F220" i="8"/>
  <c r="F344" i="8"/>
  <c r="H344" i="8"/>
  <c r="I344" i="8" s="1"/>
  <c r="F160" i="8"/>
  <c r="H160" i="8"/>
  <c r="I160" i="8" s="1"/>
  <c r="H413" i="8"/>
  <c r="I413" i="8" s="1"/>
  <c r="F413" i="8"/>
  <c r="F879" i="8"/>
  <c r="H879" i="8"/>
  <c r="I879" i="8" s="1"/>
  <c r="F1102" i="8"/>
  <c r="H1102" i="8"/>
  <c r="I1102" i="8" s="1"/>
  <c r="F1064" i="8"/>
  <c r="H1064" i="8"/>
  <c r="I1064" i="8" s="1"/>
  <c r="F366" i="8"/>
  <c r="H366" i="8"/>
  <c r="I366" i="8" s="1"/>
  <c r="H472" i="8"/>
  <c r="I472" i="8" s="1"/>
  <c r="F472" i="8"/>
  <c r="F336" i="8"/>
  <c r="H336" i="8"/>
  <c r="I336" i="8" s="1"/>
  <c r="F241" i="8"/>
  <c r="H241" i="8"/>
  <c r="I241" i="8" s="1"/>
  <c r="H995" i="8"/>
  <c r="I995" i="8" s="1"/>
  <c r="F995" i="8"/>
  <c r="F131" i="8"/>
  <c r="H131" i="8"/>
  <c r="I131" i="8" s="1"/>
  <c r="F207" i="8"/>
  <c r="H207" i="8"/>
  <c r="I207" i="8" s="1"/>
  <c r="H136" i="8"/>
  <c r="I136" i="8" s="1"/>
  <c r="F136" i="8"/>
  <c r="F1174" i="8"/>
  <c r="H1174" i="8"/>
  <c r="I1174" i="8" s="1"/>
  <c r="F350" i="8"/>
  <c r="H350" i="8"/>
  <c r="I350" i="8" s="1"/>
  <c r="F1006" i="8"/>
  <c r="H1006" i="8"/>
  <c r="I1006" i="8" s="1"/>
  <c r="H132" i="8"/>
  <c r="I132" i="8" s="1"/>
  <c r="F132" i="8"/>
  <c r="F1126" i="8"/>
  <c r="H1126" i="8"/>
  <c r="I1126" i="8" s="1"/>
  <c r="F135" i="8"/>
  <c r="H135" i="8"/>
  <c r="I135" i="8" s="1"/>
  <c r="F267" i="8"/>
  <c r="H267" i="8"/>
  <c r="I267" i="8" s="1"/>
  <c r="H343" i="8"/>
  <c r="I343" i="8" s="1"/>
  <c r="F343" i="8"/>
  <c r="H175" i="8"/>
  <c r="I175" i="8" s="1"/>
  <c r="F175" i="8"/>
  <c r="F1128" i="8"/>
  <c r="H1128" i="8"/>
  <c r="I1128" i="8" s="1"/>
  <c r="F320" i="8"/>
  <c r="H320" i="8"/>
  <c r="I320" i="8" s="1"/>
  <c r="H882" i="8"/>
  <c r="I882" i="8" s="1"/>
  <c r="F882" i="8"/>
  <c r="H305" i="8"/>
  <c r="I305" i="8" s="1"/>
  <c r="F305" i="8"/>
  <c r="F176" i="8"/>
  <c r="H176" i="8"/>
  <c r="I176" i="8" s="1"/>
  <c r="F889" i="8"/>
  <c r="H889" i="8"/>
  <c r="I889" i="8" s="1"/>
  <c r="F352" i="8"/>
  <c r="H352" i="8"/>
  <c r="I352" i="8" s="1"/>
  <c r="F109" i="8"/>
  <c r="H109" i="8"/>
  <c r="I109" i="8" s="1"/>
  <c r="F368" i="8"/>
  <c r="H368" i="8"/>
  <c r="I368" i="8" s="1"/>
  <c r="H319" i="8"/>
  <c r="I319" i="8" s="1"/>
  <c r="F319" i="8"/>
  <c r="H329" i="8"/>
  <c r="I329" i="8" s="1"/>
  <c r="F329" i="8"/>
  <c r="H1071" i="8"/>
  <c r="I1071" i="8" s="1"/>
  <c r="F1071" i="8"/>
  <c r="F1036" i="8"/>
  <c r="H1036" i="8"/>
  <c r="I1036" i="8" s="1"/>
  <c r="H864" i="8"/>
  <c r="I864" i="8" s="1"/>
  <c r="F864" i="8"/>
  <c r="H1065" i="8"/>
  <c r="I1065" i="8" s="1"/>
  <c r="F1065" i="8"/>
  <c r="H268" i="8"/>
  <c r="I268" i="8" s="1"/>
  <c r="F268" i="8"/>
  <c r="H80" i="8"/>
  <c r="I80" i="8" s="1"/>
  <c r="F80" i="8"/>
  <c r="H258" i="8"/>
  <c r="I258" i="8" s="1"/>
  <c r="F258" i="8"/>
  <c r="H309" i="8"/>
  <c r="I309" i="8" s="1"/>
  <c r="F309" i="8"/>
  <c r="F1175" i="8"/>
  <c r="H1175" i="8"/>
  <c r="I1175" i="8" s="1"/>
  <c r="F909" i="8"/>
  <c r="H909" i="8"/>
  <c r="I909" i="8" s="1"/>
  <c r="H264" i="8"/>
  <c r="I264" i="8" s="1"/>
  <c r="F264" i="8"/>
  <c r="H147" i="8"/>
  <c r="I147" i="8" s="1"/>
  <c r="F147" i="8"/>
  <c r="H339" i="8"/>
  <c r="I339" i="8" s="1"/>
  <c r="F339" i="8"/>
  <c r="H307" i="8"/>
  <c r="I307" i="8" s="1"/>
  <c r="F307" i="8"/>
  <c r="H214" i="8"/>
  <c r="I214" i="8" s="1"/>
  <c r="F214" i="8"/>
  <c r="H907" i="8"/>
  <c r="I907" i="8" s="1"/>
  <c r="F907" i="8"/>
  <c r="F215" i="8"/>
  <c r="H215" i="8"/>
  <c r="I215" i="8" s="1"/>
  <c r="H1099" i="8"/>
  <c r="I1099" i="8" s="1"/>
  <c r="F1099" i="8"/>
  <c r="F911" i="8"/>
  <c r="H911" i="8"/>
  <c r="I911" i="8" s="1"/>
  <c r="F269" i="8"/>
  <c r="H269" i="8"/>
  <c r="I269" i="8" s="1"/>
  <c r="H204" i="8"/>
  <c r="I204" i="8" s="1"/>
  <c r="F204" i="8"/>
  <c r="F931" i="8"/>
  <c r="H931" i="8"/>
  <c r="I931" i="8" s="1"/>
  <c r="F1124" i="8"/>
  <c r="H1124" i="8"/>
  <c r="I1124" i="8" s="1"/>
  <c r="H185" i="8"/>
  <c r="I185" i="8" s="1"/>
  <c r="F185" i="8"/>
  <c r="H341" i="8"/>
  <c r="I341" i="8" s="1"/>
  <c r="F341" i="8"/>
  <c r="H349" i="8"/>
  <c r="I349" i="8" s="1"/>
  <c r="F349" i="8"/>
  <c r="F338" i="8"/>
  <c r="H338" i="8"/>
  <c r="I338" i="8" s="1"/>
  <c r="F851" i="8"/>
  <c r="H851" i="8"/>
  <c r="I851" i="8" s="1"/>
  <c r="H218" i="8"/>
  <c r="I218" i="8" s="1"/>
  <c r="F218" i="8"/>
  <c r="H54" i="8"/>
  <c r="I54" i="8" s="1"/>
  <c r="F54" i="8"/>
  <c r="H179" i="8"/>
  <c r="I179" i="8" s="1"/>
  <c r="F179" i="8"/>
  <c r="F1132" i="8"/>
  <c r="H1132" i="8"/>
  <c r="I1132" i="8" s="1"/>
  <c r="H335" i="8"/>
  <c r="I335" i="8" s="1"/>
  <c r="F335" i="8"/>
  <c r="H373" i="8"/>
  <c r="I373" i="8" s="1"/>
  <c r="F373" i="8"/>
  <c r="F105" i="8"/>
  <c r="H105" i="8"/>
  <c r="I105" i="8" s="1"/>
  <c r="H155" i="8"/>
  <c r="I155" i="8" s="1"/>
  <c r="F155" i="8"/>
  <c r="H102" i="8"/>
  <c r="I102" i="8" s="1"/>
  <c r="F102" i="8"/>
  <c r="F948" i="8"/>
  <c r="H948" i="8"/>
  <c r="I948" i="8" s="1"/>
  <c r="H197" i="8"/>
  <c r="I197" i="8" s="1"/>
  <c r="F197" i="8"/>
  <c r="F117" i="8"/>
  <c r="H117" i="8"/>
  <c r="I117" i="8" s="1"/>
  <c r="F1098" i="8"/>
  <c r="H1098" i="8"/>
  <c r="I1098" i="8" s="1"/>
  <c r="F265" i="8"/>
  <c r="H265" i="8"/>
  <c r="I265" i="8" s="1"/>
  <c r="F127" i="8"/>
  <c r="H127" i="8"/>
  <c r="I127" i="8" s="1"/>
  <c r="F865" i="8"/>
  <c r="H865" i="8"/>
  <c r="I865" i="8" s="1"/>
  <c r="F348" i="8"/>
  <c r="H348" i="8"/>
  <c r="I348" i="8" s="1"/>
  <c r="F378" i="8"/>
  <c r="H378" i="8"/>
  <c r="I378" i="8" s="1"/>
  <c r="H955" i="8"/>
  <c r="I955" i="8" s="1"/>
  <c r="F955" i="8"/>
  <c r="H1103" i="8"/>
  <c r="I1103" i="8" s="1"/>
  <c r="F1103" i="8"/>
  <c r="F314" i="8"/>
  <c r="H314" i="8"/>
  <c r="I314" i="8" s="1"/>
  <c r="H1147" i="8"/>
  <c r="I1147" i="8" s="1"/>
  <c r="F1147" i="8"/>
  <c r="F1066" i="8"/>
  <c r="H1066" i="8"/>
  <c r="I1066" i="8" s="1"/>
  <c r="F1140" i="8"/>
  <c r="H1140" i="8"/>
  <c r="I1140" i="8" s="1"/>
  <c r="F1034" i="8"/>
  <c r="H1034" i="8"/>
  <c r="I1034" i="8" s="1"/>
  <c r="F150" i="8"/>
  <c r="H150" i="8"/>
  <c r="I150" i="8" s="1"/>
  <c r="H383" i="8"/>
  <c r="I383" i="8" s="1"/>
  <c r="F383" i="8"/>
  <c r="F324" i="8"/>
  <c r="H324" i="8"/>
  <c r="I324" i="8" s="1"/>
  <c r="H199" i="8"/>
  <c r="I199" i="8" s="1"/>
  <c r="F199" i="8"/>
  <c r="F1088" i="8"/>
  <c r="H1088" i="8"/>
  <c r="I1088" i="8" s="1"/>
  <c r="F162" i="8"/>
  <c r="H162" i="8"/>
  <c r="I162" i="8" s="1"/>
  <c r="H202" i="8"/>
  <c r="I202" i="8" s="1"/>
  <c r="F202" i="8"/>
  <c r="F927" i="8"/>
  <c r="H927" i="8"/>
  <c r="I927" i="8" s="1"/>
  <c r="H888" i="8"/>
  <c r="I888" i="8" s="1"/>
  <c r="F888" i="8"/>
  <c r="F194" i="8"/>
  <c r="H194" i="8"/>
  <c r="I194" i="8" s="1"/>
  <c r="H979" i="8"/>
  <c r="I979" i="8" s="1"/>
  <c r="F979" i="8"/>
  <c r="F90" i="8"/>
  <c r="H90" i="8"/>
  <c r="I90" i="8" s="1"/>
  <c r="H173" i="8"/>
  <c r="I173" i="8" s="1"/>
  <c r="F173" i="8"/>
  <c r="F1112" i="8"/>
  <c r="H1112" i="8"/>
  <c r="I1112" i="8" s="1"/>
  <c r="H337" i="8"/>
  <c r="I337" i="8" s="1"/>
  <c r="F337" i="8"/>
  <c r="F93" i="8"/>
  <c r="H93" i="8"/>
  <c r="I93" i="8" s="1"/>
  <c r="H193" i="8"/>
  <c r="I193" i="8" s="1"/>
  <c r="F193" i="8"/>
  <c r="H56" i="8"/>
  <c r="I56" i="8" s="1"/>
  <c r="F56" i="8"/>
  <c r="F928" i="8"/>
  <c r="H928" i="8"/>
  <c r="I928" i="8" s="1"/>
  <c r="F174" i="8"/>
  <c r="H174" i="8"/>
  <c r="I174" i="8" s="1"/>
  <c r="H938" i="8"/>
  <c r="I938" i="8" s="1"/>
  <c r="F938" i="8"/>
  <c r="H1087" i="8"/>
  <c r="I1087" i="8" s="1"/>
  <c r="F1087" i="8"/>
  <c r="H145" i="8"/>
  <c r="I145" i="8" s="1"/>
  <c r="F145" i="8"/>
  <c r="F257" i="8"/>
  <c r="H257" i="8"/>
  <c r="I257" i="8" s="1"/>
  <c r="H210" i="8"/>
  <c r="I210" i="8" s="1"/>
  <c r="F210" i="8"/>
  <c r="H331" i="8"/>
  <c r="I331" i="8" s="1"/>
  <c r="F331" i="8"/>
  <c r="H116" i="8"/>
  <c r="I116" i="8" s="1"/>
  <c r="F116" i="8"/>
  <c r="F121" i="8"/>
  <c r="H121" i="8"/>
  <c r="I121" i="8" s="1"/>
  <c r="H854" i="8"/>
  <c r="I854" i="8" s="1"/>
  <c r="F854" i="8"/>
  <c r="H260" i="8"/>
  <c r="I260" i="8" s="1"/>
  <c r="F260" i="8"/>
  <c r="H369" i="8"/>
  <c r="I369" i="8" s="1"/>
  <c r="F369" i="8"/>
  <c r="H971" i="8"/>
  <c r="I971" i="8" s="1"/>
  <c r="F971" i="8"/>
  <c r="H345" i="8"/>
  <c r="I345" i="8" s="1"/>
  <c r="F345" i="8"/>
  <c r="F19" i="8"/>
  <c r="H19" i="8"/>
  <c r="I19" i="8" s="1"/>
  <c r="F180" i="8"/>
  <c r="H180" i="8"/>
  <c r="I180" i="8" s="1"/>
  <c r="F328" i="8"/>
  <c r="H328" i="8"/>
  <c r="I328" i="8" s="1"/>
  <c r="H256" i="8"/>
  <c r="I256" i="8" s="1"/>
  <c r="F256" i="8"/>
  <c r="F53" i="8"/>
  <c r="H53" i="8"/>
  <c r="I53" i="8" s="1"/>
  <c r="F929" i="8"/>
  <c r="H929" i="8"/>
  <c r="I929" i="8" s="1"/>
  <c r="H238" i="8"/>
  <c r="I238" i="8" s="1"/>
  <c r="F238" i="8"/>
  <c r="F259" i="8"/>
  <c r="H259" i="8"/>
  <c r="I259" i="8" s="1"/>
  <c r="F219" i="8"/>
  <c r="H219" i="8"/>
  <c r="I219" i="8" s="1"/>
  <c r="H1035" i="8"/>
  <c r="I1035" i="8" s="1"/>
  <c r="F1035" i="8"/>
  <c r="F182" i="8"/>
  <c r="H182" i="8"/>
  <c r="I182" i="8" s="1"/>
  <c r="H1111" i="8"/>
  <c r="I1111" i="8" s="1"/>
  <c r="F1111" i="8"/>
  <c r="F1179" i="8"/>
  <c r="H1179" i="8"/>
  <c r="I1179" i="8" s="1"/>
  <c r="F1180" i="8"/>
  <c r="H1180" i="8"/>
  <c r="I1180" i="8" s="1"/>
  <c r="F593" i="8"/>
  <c r="H593" i="8"/>
  <c r="I593" i="8" s="1"/>
  <c r="H1019" i="8"/>
  <c r="I1019" i="8" s="1"/>
  <c r="F1019" i="8"/>
  <c r="H181" i="8"/>
  <c r="I181" i="8" s="1"/>
  <c r="F181" i="8"/>
  <c r="H189" i="8"/>
  <c r="I189" i="8" s="1"/>
  <c r="F189" i="8"/>
  <c r="F376" i="8"/>
  <c r="H376" i="8"/>
  <c r="I376" i="8" s="1"/>
  <c r="F178" i="8"/>
  <c r="H178" i="8"/>
  <c r="I178" i="8" s="1"/>
  <c r="H208" i="8"/>
  <c r="I208" i="8" s="1"/>
  <c r="F208" i="8"/>
  <c r="H868" i="8"/>
  <c r="I868" i="8" s="1"/>
  <c r="F868" i="8"/>
  <c r="F261" i="8"/>
  <c r="H261" i="8"/>
  <c r="I261" i="8" s="1"/>
  <c r="H92" i="8"/>
  <c r="I92" i="8" s="1"/>
  <c r="F92" i="8"/>
  <c r="F103" i="8"/>
  <c r="H103" i="8"/>
  <c r="I103" i="8" s="1"/>
  <c r="H6" i="8"/>
  <c r="I6" i="8" s="1"/>
  <c r="I3377" i="5" l="1"/>
  <c r="I397" i="5"/>
  <c r="I3272" i="5"/>
  <c r="I3461" i="5"/>
  <c r="I442" i="5"/>
  <c r="I3663" i="5"/>
  <c r="I3247" i="5"/>
  <c r="F932" i="8"/>
  <c r="H932" i="8"/>
  <c r="I932" i="8" s="1"/>
  <c r="H236" i="8"/>
  <c r="I236" i="8" s="1"/>
  <c r="F236" i="8"/>
  <c r="F233" i="8"/>
  <c r="H233" i="8"/>
  <c r="I233" i="8" s="1"/>
  <c r="H969" i="8"/>
  <c r="I969" i="8" s="1"/>
  <c r="F969" i="8"/>
  <c r="F188" i="8"/>
  <c r="H188" i="8"/>
  <c r="I188" i="8" s="1"/>
  <c r="F115" i="8"/>
  <c r="H115" i="8"/>
  <c r="I115" i="8" s="1"/>
  <c r="H1085" i="8"/>
  <c r="I1085" i="8" s="1"/>
  <c r="F1085" i="8"/>
  <c r="F9" i="8"/>
  <c r="H9" i="8"/>
  <c r="I9" i="8" s="1"/>
  <c r="F288" i="8"/>
  <c r="H288" i="8"/>
  <c r="I288" i="8" s="1"/>
  <c r="F290" i="8"/>
  <c r="H290" i="8"/>
  <c r="I290" i="8" s="1"/>
  <c r="F209" i="8"/>
  <c r="H209" i="8"/>
  <c r="I209" i="8" s="1"/>
  <c r="F863" i="8"/>
  <c r="H863" i="8"/>
  <c r="I863" i="8" s="1"/>
  <c r="F237" i="8"/>
  <c r="H237" i="8"/>
  <c r="I237" i="8" s="1"/>
  <c r="H1069" i="8"/>
  <c r="I1069" i="8" s="1"/>
  <c r="F1069" i="8"/>
  <c r="F318" i="8"/>
  <c r="H318" i="8"/>
  <c r="I318" i="8" s="1"/>
  <c r="F101" i="8"/>
  <c r="H101" i="8"/>
  <c r="I101" i="8" s="1"/>
  <c r="H240" i="8"/>
  <c r="I240" i="8" s="1"/>
  <c r="F240" i="8"/>
  <c r="H285" i="8"/>
  <c r="I285" i="8" s="1"/>
  <c r="F285" i="8"/>
  <c r="F129" i="8"/>
  <c r="H129" i="8"/>
  <c r="I129" i="8" s="1"/>
  <c r="H270" i="8"/>
  <c r="I270" i="8" s="1"/>
  <c r="F270" i="8"/>
  <c r="F980" i="8"/>
  <c r="H980" i="8"/>
  <c r="I980" i="8" s="1"/>
  <c r="F300" i="8"/>
  <c r="H300" i="8"/>
  <c r="I300" i="8" s="1"/>
  <c r="H216" i="8"/>
  <c r="I216" i="8" s="1"/>
  <c r="F216" i="8"/>
  <c r="F289" i="8"/>
  <c r="H289" i="8"/>
  <c r="I289" i="8" s="1"/>
  <c r="H274" i="8"/>
  <c r="I274" i="8" s="1"/>
  <c r="F274" i="8"/>
  <c r="H224" i="8"/>
  <c r="I224" i="8" s="1"/>
  <c r="F224" i="8"/>
  <c r="F239" i="8"/>
  <c r="H239" i="8"/>
  <c r="I239" i="8" s="1"/>
  <c r="F1068" i="8"/>
  <c r="H1068" i="8"/>
  <c r="I1068" i="8" s="1"/>
  <c r="F312" i="8"/>
  <c r="H312" i="8"/>
  <c r="I312" i="8" s="1"/>
  <c r="F877" i="8"/>
  <c r="H877" i="8"/>
  <c r="I877" i="8" s="1"/>
  <c r="H106" i="8"/>
  <c r="I106" i="8" s="1"/>
  <c r="F106" i="8"/>
  <c r="F225" i="8"/>
  <c r="H225" i="8"/>
  <c r="I225" i="8" s="1"/>
  <c r="H363" i="8"/>
  <c r="I363" i="8" s="1"/>
  <c r="F363" i="8"/>
  <c r="H333" i="8"/>
  <c r="I333" i="8" s="1"/>
  <c r="F333" i="8"/>
  <c r="H860" i="8"/>
  <c r="I860" i="8" s="1"/>
  <c r="F860" i="8"/>
  <c r="F340" i="8"/>
  <c r="H340" i="8"/>
  <c r="I340" i="8" s="1"/>
  <c r="H266" i="8"/>
  <c r="I266" i="8" s="1"/>
  <c r="F266" i="8"/>
  <c r="I3832" i="5"/>
  <c r="I3284" i="5"/>
  <c r="I3212" i="5"/>
  <c r="I3369" i="5"/>
  <c r="I3223" i="5"/>
  <c r="I547" i="5"/>
  <c r="I3307" i="5"/>
  <c r="I3609" i="5"/>
  <c r="I3137" i="5"/>
  <c r="I557" i="5"/>
  <c r="I3529" i="5"/>
  <c r="I3608" i="5"/>
  <c r="I3322" i="5"/>
  <c r="I1350" i="5"/>
  <c r="I3435" i="5"/>
  <c r="I4216" i="5"/>
  <c r="I4151" i="5"/>
  <c r="I274" i="5"/>
  <c r="I376" i="5"/>
  <c r="I4195" i="5"/>
  <c r="I2235" i="5"/>
  <c r="I3658" i="5"/>
  <c r="I430" i="5"/>
  <c r="I427" i="5"/>
  <c r="I690" i="5"/>
  <c r="I3179" i="5"/>
  <c r="I3477" i="5"/>
  <c r="I1337" i="5"/>
  <c r="I4211" i="5"/>
  <c r="I4187" i="5"/>
  <c r="I2291" i="5"/>
  <c r="I4135" i="5"/>
  <c r="I3172" i="5"/>
  <c r="J3237" i="5" l="1"/>
  <c r="E970" i="8" s="1"/>
  <c r="J3373" i="5"/>
  <c r="J396" i="5"/>
  <c r="J3262" i="5"/>
  <c r="E972" i="8" s="1"/>
  <c r="J3662" i="5"/>
  <c r="J3456" i="5"/>
  <c r="E999" i="8" s="1"/>
  <c r="J442" i="5"/>
  <c r="J3208" i="5"/>
  <c r="E966" i="8" s="1"/>
  <c r="J3830" i="5"/>
  <c r="F374" i="8"/>
  <c r="H374" i="8"/>
  <c r="I374" i="8" s="1"/>
  <c r="H361" i="8"/>
  <c r="I361" i="8" s="1"/>
  <c r="F361" i="8"/>
  <c r="H128" i="8"/>
  <c r="I128" i="8" s="1"/>
  <c r="F128" i="8"/>
  <c r="H385" i="8"/>
  <c r="I385" i="8" s="1"/>
  <c r="F385" i="8"/>
  <c r="F322" i="8"/>
  <c r="H322" i="8"/>
  <c r="I322" i="8" s="1"/>
  <c r="F334" i="8"/>
  <c r="H334" i="8"/>
  <c r="I334" i="8" s="1"/>
  <c r="H325" i="8"/>
  <c r="I325" i="8" s="1"/>
  <c r="F325" i="8"/>
  <c r="F113" i="8"/>
  <c r="H113" i="8"/>
  <c r="I113" i="8" s="1"/>
  <c r="H112" i="8"/>
  <c r="I112" i="8" s="1"/>
  <c r="F112" i="8"/>
  <c r="F306" i="8"/>
  <c r="H306" i="8"/>
  <c r="I306" i="8" s="1"/>
  <c r="F287" i="8"/>
  <c r="H287" i="8"/>
  <c r="I287" i="8" s="1"/>
  <c r="F119" i="8"/>
  <c r="H119" i="8"/>
  <c r="I119" i="8" s="1"/>
  <c r="F107" i="8"/>
  <c r="H107" i="8"/>
  <c r="I107" i="8" s="1"/>
  <c r="F97" i="8"/>
  <c r="H97" i="8"/>
  <c r="I97" i="8" s="1"/>
  <c r="F235" i="8"/>
  <c r="H235" i="8"/>
  <c r="I235" i="8" s="1"/>
  <c r="F1018" i="8"/>
  <c r="H1018" i="8"/>
  <c r="I1018" i="8" s="1"/>
  <c r="J555" i="5"/>
  <c r="J3136" i="5"/>
  <c r="J3279" i="5"/>
  <c r="E973" i="8" s="1"/>
  <c r="J547" i="5"/>
  <c r="J3367" i="5"/>
  <c r="J3218" i="5"/>
  <c r="E967" i="8" s="1"/>
  <c r="J3298" i="5"/>
  <c r="E976" i="8" s="1"/>
  <c r="J3527" i="5"/>
  <c r="E1059" i="8" s="1"/>
  <c r="J3597" i="5"/>
  <c r="J3320" i="5"/>
  <c r="E978" i="8" s="1"/>
  <c r="I63" i="6"/>
  <c r="J3171" i="5"/>
  <c r="J4146" i="5"/>
  <c r="J2286" i="5"/>
  <c r="J4209" i="5"/>
  <c r="J3178" i="5"/>
  <c r="J686" i="5"/>
  <c r="J2230" i="5"/>
  <c r="J373" i="5"/>
  <c r="J4215" i="5"/>
  <c r="J1335" i="5"/>
  <c r="J3471" i="5"/>
  <c r="J424" i="5"/>
  <c r="J1348" i="5"/>
  <c r="J4130" i="5"/>
  <c r="J4185" i="5"/>
  <c r="J3654" i="5"/>
  <c r="J4193" i="5"/>
  <c r="J270" i="5"/>
  <c r="J3431" i="5"/>
  <c r="E951" i="8" l="1"/>
  <c r="E96" i="8"/>
  <c r="E91" i="8"/>
  <c r="E1158" i="8"/>
  <c r="E234" i="8"/>
  <c r="E1162" i="8"/>
  <c r="E960" i="8"/>
  <c r="E959" i="8"/>
  <c r="E1078" i="8"/>
  <c r="E94" i="8"/>
  <c r="E89" i="8"/>
  <c r="E1161" i="8"/>
  <c r="E1070" i="8"/>
  <c r="E986" i="8"/>
  <c r="E111" i="8"/>
  <c r="E987" i="8"/>
  <c r="E79" i="8"/>
  <c r="E1152" i="8"/>
  <c r="E232" i="8"/>
  <c r="E130" i="8"/>
  <c r="E1153" i="8"/>
  <c r="E996" i="8"/>
  <c r="E1157" i="8"/>
  <c r="E1016" i="8"/>
  <c r="E364" i="8"/>
  <c r="E371" i="8"/>
  <c r="E110" i="8"/>
  <c r="E1114" i="8"/>
  <c r="E1079" i="8"/>
  <c r="F867" i="8"/>
  <c r="H867" i="8"/>
  <c r="I867" i="8" s="1"/>
  <c r="F930" i="8"/>
  <c r="H930" i="8"/>
  <c r="I930" i="8" s="1"/>
  <c r="F326" i="8"/>
  <c r="H326" i="8"/>
  <c r="I326" i="8" s="1"/>
  <c r="F1058" i="8"/>
  <c r="H1058" i="8"/>
  <c r="I1058" i="8" s="1"/>
  <c r="H187" i="8"/>
  <c r="I187" i="8" s="1"/>
  <c r="F187" i="8"/>
  <c r="H279" i="8"/>
  <c r="I279" i="8" s="1"/>
  <c r="F279" i="8"/>
  <c r="F275" i="8"/>
  <c r="H275" i="8"/>
  <c r="I275" i="8" s="1"/>
  <c r="F310" i="8"/>
  <c r="H310" i="8"/>
  <c r="I310" i="8" s="1"/>
  <c r="F148" i="8"/>
  <c r="H148" i="8"/>
  <c r="I148" i="8" s="1"/>
  <c r="H171" i="8"/>
  <c r="I171" i="8" s="1"/>
  <c r="F171" i="8"/>
  <c r="H327" i="8"/>
  <c r="I327" i="8" s="1"/>
  <c r="F327" i="8"/>
  <c r="F902" i="8"/>
  <c r="H902" i="8"/>
  <c r="I902" i="8" s="1"/>
  <c r="F382" i="8"/>
  <c r="H382" i="8"/>
  <c r="I382" i="8" s="1"/>
  <c r="H262" i="8"/>
  <c r="I262" i="8" s="1"/>
  <c r="F262" i="8"/>
  <c r="F332" i="8"/>
  <c r="H332" i="8"/>
  <c r="I332" i="8" s="1"/>
  <c r="H381" i="8"/>
  <c r="I381" i="8" s="1"/>
  <c r="F381" i="8"/>
  <c r="I1469" i="5"/>
  <c r="I1454" i="5"/>
  <c r="H165" i="8" l="1"/>
  <c r="I165" i="8" s="1"/>
  <c r="F165" i="8"/>
  <c r="F278" i="8"/>
  <c r="H278" i="8"/>
  <c r="I278" i="8" s="1"/>
  <c r="F282" i="8"/>
  <c r="H282" i="8"/>
  <c r="I282" i="8" s="1"/>
  <c r="F227" i="8"/>
  <c r="H227" i="8"/>
  <c r="I227" i="8" s="1"/>
  <c r="H281" i="8"/>
  <c r="I281" i="8" s="1"/>
  <c r="F281" i="8"/>
  <c r="F1076" i="8"/>
  <c r="H1076" i="8"/>
  <c r="I1076" i="8" s="1"/>
  <c r="F280" i="8"/>
  <c r="H280" i="8"/>
  <c r="I280" i="8" s="1"/>
  <c r="J1458" i="5"/>
  <c r="E246" i="8" s="1"/>
  <c r="I1424" i="5"/>
  <c r="I1484" i="5"/>
  <c r="J1443" i="5"/>
  <c r="E245" i="8" s="1"/>
  <c r="I1409" i="5"/>
  <c r="I1439" i="5"/>
  <c r="H120" i="8" l="1"/>
  <c r="I120" i="8" s="1"/>
  <c r="F120" i="8"/>
  <c r="I1499" i="5"/>
  <c r="J1473" i="5"/>
  <c r="E247" i="8" s="1"/>
  <c r="J1398" i="5"/>
  <c r="E242" i="8" s="1"/>
  <c r="J1413" i="5"/>
  <c r="E243" i="8" s="1"/>
  <c r="I3631" i="5"/>
  <c r="J1428" i="5"/>
  <c r="E244" i="8" s="1"/>
  <c r="J3631" i="5" l="1"/>
  <c r="J1488" i="5"/>
  <c r="E248" i="8" s="1"/>
  <c r="E1075" i="8" l="1"/>
  <c r="F1016" i="8"/>
  <c r="H1016" i="8"/>
  <c r="I1016" i="8" s="1"/>
  <c r="F79" i="8"/>
  <c r="H79" i="8"/>
  <c r="I79" i="8" s="1"/>
  <c r="F978" i="8"/>
  <c r="H978" i="8"/>
  <c r="I978" i="8" s="1"/>
  <c r="F1152" i="8"/>
  <c r="H1152" i="8"/>
  <c r="I1152" i="8" s="1"/>
  <c r="H1153" i="8"/>
  <c r="I1153" i="8" s="1"/>
  <c r="F1153" i="8"/>
  <c r="H371" i="8" l="1"/>
  <c r="I371" i="8" s="1"/>
  <c r="F371" i="8"/>
  <c r="H232" i="8"/>
  <c r="I232" i="8" s="1"/>
  <c r="F232" i="8"/>
  <c r="H234" i="8"/>
  <c r="I234" i="8" s="1"/>
  <c r="F234" i="8"/>
  <c r="H242" i="8" l="1"/>
  <c r="I242" i="8" s="1"/>
  <c r="F242" i="8"/>
  <c r="H246" i="8"/>
  <c r="I246" i="8" s="1"/>
  <c r="F246" i="8"/>
  <c r="F243" i="8"/>
  <c r="H243" i="8"/>
  <c r="I243" i="8" s="1"/>
  <c r="F247" i="8"/>
  <c r="H247" i="8"/>
  <c r="I247" i="8" s="1"/>
  <c r="F245" i="8"/>
  <c r="H245" i="8"/>
  <c r="I245" i="8" s="1"/>
  <c r="H1075" i="8" l="1"/>
  <c r="I1075" i="8" s="1"/>
  <c r="F1075" i="8"/>
  <c r="H244" i="8"/>
  <c r="I244" i="8" s="1"/>
  <c r="F244" i="8"/>
  <c r="H248" i="8" l="1"/>
  <c r="I248" i="8" s="1"/>
  <c r="F248" i="8"/>
  <c r="F1185" i="8" l="1"/>
  <c r="H1185" i="8"/>
  <c r="I1185" i="8" s="1"/>
  <c r="F91" i="8"/>
  <c r="H91" i="8"/>
  <c r="I91" i="8" s="1"/>
  <c r="F942" i="8"/>
  <c r="H942" i="8"/>
  <c r="I942" i="8" s="1"/>
  <c r="F1168" i="8"/>
  <c r="H1168" i="8"/>
  <c r="I1168" i="8" s="1"/>
  <c r="H110" i="8"/>
  <c r="I110" i="8" s="1"/>
  <c r="F110" i="8"/>
  <c r="F1173" i="8"/>
  <c r="H1173" i="8"/>
  <c r="I1173" i="8" s="1"/>
  <c r="F986" i="8"/>
  <c r="H986" i="8"/>
  <c r="I986" i="8" s="1"/>
  <c r="F921" i="8"/>
  <c r="H921" i="8"/>
  <c r="I921" i="8" s="1"/>
  <c r="H951" i="8"/>
  <c r="I951" i="8" s="1"/>
  <c r="F951" i="8"/>
  <c r="F970" i="8"/>
  <c r="H970" i="8"/>
  <c r="I970" i="8" s="1"/>
  <c r="F251" i="8"/>
  <c r="H251" i="8"/>
  <c r="I251" i="8" s="1"/>
  <c r="H973" i="8"/>
  <c r="I973" i="8" s="1"/>
  <c r="F973" i="8"/>
  <c r="F95" i="8"/>
  <c r="H95" i="8"/>
  <c r="I95" i="8" s="1"/>
  <c r="H1161" i="8"/>
  <c r="I1161" i="8" s="1"/>
  <c r="F1161" i="8"/>
  <c r="F1162" i="8"/>
  <c r="H1162" i="8"/>
  <c r="I1162" i="8" s="1"/>
  <c r="F960" i="8"/>
  <c r="H960" i="8"/>
  <c r="I960" i="8" s="1"/>
  <c r="F255" i="8"/>
  <c r="H255" i="8"/>
  <c r="I255" i="8" s="1"/>
  <c r="H999" i="8"/>
  <c r="I999" i="8" s="1"/>
  <c r="F999" i="8"/>
  <c r="H1079" i="8"/>
  <c r="I1079" i="8" s="1"/>
  <c r="F1079" i="8"/>
  <c r="H967" i="8"/>
  <c r="I967" i="8" s="1"/>
  <c r="F967" i="8"/>
  <c r="F1134" i="8"/>
  <c r="H1134" i="8"/>
  <c r="I1134" i="8" s="1"/>
  <c r="F972" i="8"/>
  <c r="H972" i="8"/>
  <c r="I972" i="8" s="1"/>
  <c r="F1158" i="8"/>
  <c r="H1158" i="8"/>
  <c r="I1158" i="8" s="1"/>
  <c r="F89" i="8"/>
  <c r="H89" i="8"/>
  <c r="I89" i="8" s="1"/>
  <c r="H959" i="8"/>
  <c r="I959" i="8" s="1"/>
  <c r="F959" i="8"/>
  <c r="H252" i="8"/>
  <c r="I252" i="8" s="1"/>
  <c r="F252" i="8"/>
  <c r="F253" i="8"/>
  <c r="H253" i="8"/>
  <c r="I253" i="8" s="1"/>
  <c r="H1135" i="8"/>
  <c r="I1135" i="8" s="1"/>
  <c r="F1135" i="8"/>
  <c r="F364" i="8"/>
  <c r="H364" i="8"/>
  <c r="I364" i="8" s="1"/>
  <c r="F922" i="8"/>
  <c r="H922" i="8"/>
  <c r="I922" i="8" s="1"/>
  <c r="H250" i="8"/>
  <c r="I250" i="8" s="1"/>
  <c r="F250" i="8"/>
  <c r="F976" i="8"/>
  <c r="H976" i="8"/>
  <c r="I976" i="8" s="1"/>
  <c r="H230" i="8"/>
  <c r="I230" i="8" s="1"/>
  <c r="F230" i="8"/>
  <c r="H943" i="8"/>
  <c r="I943" i="8" s="1"/>
  <c r="F943" i="8"/>
  <c r="F966" i="8"/>
  <c r="H966" i="8"/>
  <c r="I966" i="8" s="1"/>
  <c r="H1059" i="8"/>
  <c r="I1059" i="8" s="1"/>
  <c r="F1059" i="8"/>
  <c r="H903" i="8" l="1"/>
  <c r="I903" i="8" s="1"/>
  <c r="F903" i="8"/>
  <c r="F1078" i="8"/>
  <c r="H1078" i="8"/>
  <c r="I1078" i="8" s="1"/>
  <c r="H987" i="8"/>
  <c r="I987" i="8" s="1"/>
  <c r="F987" i="8"/>
  <c r="H228" i="8"/>
  <c r="I228" i="8" s="1"/>
  <c r="F228" i="8"/>
  <c r="H94" i="8"/>
  <c r="I94" i="8" s="1"/>
  <c r="F94" i="8"/>
  <c r="F1070" i="8"/>
  <c r="H1070" i="8"/>
  <c r="I1070" i="8" s="1"/>
  <c r="F1114" i="8"/>
  <c r="H1114" i="8"/>
  <c r="I1114" i="8" s="1"/>
  <c r="F231" i="8"/>
  <c r="H231" i="8"/>
  <c r="I231" i="8" s="1"/>
  <c r="H254" i="8"/>
  <c r="I254" i="8" s="1"/>
  <c r="F254" i="8"/>
  <c r="H130" i="8"/>
  <c r="I130" i="8" s="1"/>
  <c r="F130" i="8"/>
  <c r="F86" i="8"/>
  <c r="H86" i="8"/>
  <c r="I86" i="8" s="1"/>
  <c r="F925" i="8"/>
  <c r="H925" i="8"/>
  <c r="I925" i="8" s="1"/>
  <c r="F111" i="8"/>
  <c r="H111" i="8"/>
  <c r="I111" i="8" s="1"/>
  <c r="F249" i="8"/>
  <c r="H249" i="8"/>
  <c r="I249" i="8" s="1"/>
  <c r="H96" i="8"/>
  <c r="I96" i="8" s="1"/>
  <c r="F96" i="8"/>
  <c r="F1074" i="8"/>
  <c r="H1074" i="8"/>
  <c r="I1074" i="8" s="1"/>
  <c r="F229" i="8"/>
  <c r="H229" i="8"/>
  <c r="I229" i="8" s="1"/>
  <c r="H1157" i="8"/>
  <c r="I1157" i="8" s="1"/>
  <c r="F1157" i="8"/>
  <c r="H1067" i="8" l="1"/>
  <c r="I1067" i="8" s="1"/>
  <c r="F1067" i="8"/>
  <c r="H997" i="8"/>
  <c r="I997" i="8" s="1"/>
  <c r="F997" i="8"/>
  <c r="F994" i="8"/>
  <c r="H994" i="8"/>
  <c r="I994" i="8" s="1"/>
  <c r="F83" i="8"/>
  <c r="H83" i="8"/>
  <c r="I83" i="8" s="1"/>
  <c r="F996" i="8"/>
  <c r="H996" i="8"/>
  <c r="I996" i="8" s="1"/>
  <c r="H82" i="8"/>
  <c r="I82" i="8" s="1"/>
  <c r="F82" i="8"/>
  <c r="H574" i="8" l="1"/>
  <c r="I574" i="8" s="1"/>
  <c r="F574" i="8"/>
  <c r="F575" i="8"/>
  <c r="H575" i="8"/>
  <c r="I575" i="8" s="1"/>
  <c r="F1082" i="8"/>
  <c r="H1082" i="8"/>
  <c r="I1082" i="8" s="1"/>
  <c r="F87" i="8"/>
  <c r="H87" i="8"/>
  <c r="I87" i="8" s="1"/>
  <c r="F926" i="8"/>
  <c r="H926" i="8"/>
  <c r="I926" i="8" s="1"/>
  <c r="F573" i="8"/>
  <c r="H573" i="8"/>
  <c r="I573" i="8" s="1"/>
  <c r="I1242" i="8" l="1"/>
  <c r="I1241" i="8" l="1"/>
</calcChain>
</file>

<file path=xl/comments1.xml><?xml version="1.0" encoding="utf-8"?>
<comments xmlns="http://schemas.openxmlformats.org/spreadsheetml/2006/main">
  <authors>
    <author>Kellen Silva Lima</author>
  </authors>
  <commentList>
    <comment ref="F326" authorId="0" shapeId="0">
      <text>
        <r>
          <rPr>
            <sz val="9"/>
            <color indexed="81"/>
            <rFont val="Segoe UI"/>
            <family val="2"/>
          </rPr>
          <t>http://www2.rio.rj.gov.br/sco/composicaosco.cfm?item=1ET25050180B201806</t>
        </r>
      </text>
    </comment>
  </commentList>
</comments>
</file>

<file path=xl/sharedStrings.xml><?xml version="1.0" encoding="utf-8"?>
<sst xmlns="http://schemas.openxmlformats.org/spreadsheetml/2006/main" count="18790" uniqueCount="4607">
  <si>
    <t>Pini 16.113.000350.SER</t>
  </si>
  <si>
    <t>Pini 16.113.000377.SER</t>
  </si>
  <si>
    <t>Pini 16.113.000380.SER</t>
  </si>
  <si>
    <t>Pini 16.113.000362.SER</t>
  </si>
  <si>
    <t>Pini 16.113.000344.SER</t>
  </si>
  <si>
    <t>COMPOSIÇÕES DE CUSTO UNITÁRIO</t>
  </si>
  <si>
    <t>ITEM</t>
  </si>
  <si>
    <t>DESCRIÇÃO</t>
  </si>
  <si>
    <t>DISCRIMINAÇÃO DA COMPOSIÇÃO</t>
  </si>
  <si>
    <t>UNIDADE</t>
  </si>
  <si>
    <t>COEFICIENTE</t>
  </si>
  <si>
    <t>FONTE DO COEFICIENTE</t>
  </si>
  <si>
    <t>CUSTO UNITÁRIO</t>
  </si>
  <si>
    <t>FONTE DO PREÇO</t>
  </si>
  <si>
    <t>CUSTO TOTAL</t>
  </si>
  <si>
    <t>TOTAL DO SERVIÇO</t>
  </si>
  <si>
    <t>QTD</t>
  </si>
  <si>
    <t>Senado Federal</t>
  </si>
  <si>
    <t>SF-00001</t>
  </si>
  <si>
    <t>Sinapi 90777</t>
  </si>
  <si>
    <t>Engenheiro civil de obra junior com encargos complementares</t>
  </si>
  <si>
    <t>h</t>
  </si>
  <si>
    <t>SF-00002</t>
  </si>
  <si>
    <t>Sinapi 90780</t>
  </si>
  <si>
    <t>Mestre de obras com encargos complementares</t>
  </si>
  <si>
    <t>SF-00003</t>
  </si>
  <si>
    <t>Engenheiro Civil de Obra Pleno com encargos complementares</t>
  </si>
  <si>
    <t>Sinapi 90778</t>
  </si>
  <si>
    <t>SF-00004</t>
  </si>
  <si>
    <t>Engenheiro Civil Pleno com encargos complementares</t>
  </si>
  <si>
    <t>Sinapi 100306</t>
  </si>
  <si>
    <t>Anotação de Responsabilidade Técnica</t>
  </si>
  <si>
    <t>un</t>
  </si>
  <si>
    <t>Pesquisa de Preços</t>
  </si>
  <si>
    <t>SF-00005</t>
  </si>
  <si>
    <t>Sinapi 97622</t>
  </si>
  <si>
    <t>Pedreiro com Encargos Complementares</t>
  </si>
  <si>
    <t>Sinapi 88309</t>
  </si>
  <si>
    <t>Servente com Encargos Complementares</t>
  </si>
  <si>
    <t>Sinapi 88316</t>
  </si>
  <si>
    <t>SF-00006</t>
  </si>
  <si>
    <t>Pini 02.102.000007.SER Adaptada</t>
  </si>
  <si>
    <t>Pini 02.102.000007.SER</t>
  </si>
  <si>
    <t>SF-00007</t>
  </si>
  <si>
    <t>SCO/RJ - SC 05.05.0800 Adaptada</t>
  </si>
  <si>
    <t>SCO/RJ - SC 05.05.0800</t>
  </si>
  <si>
    <t>SF-00008</t>
  </si>
  <si>
    <t>Sinapi 97638</t>
  </si>
  <si>
    <t>Montador de estrutura metálica com encargos complementares</t>
  </si>
  <si>
    <t>Sinapi 88278</t>
  </si>
  <si>
    <t>SF-00009</t>
  </si>
  <si>
    <t>Sinapi 97640</t>
  </si>
  <si>
    <t>SF-00010</t>
  </si>
  <si>
    <t>Sinapi 97661 Adaptada</t>
  </si>
  <si>
    <t>Eletricista com encargos complementares</t>
  </si>
  <si>
    <t>Sinapi 88264</t>
  </si>
  <si>
    <t>SF-00011</t>
  </si>
  <si>
    <t>Sinapi 97634</t>
  </si>
  <si>
    <t>Martelete ou rompedor pneumático manual, 28 kg, com silenciador - CHP diurno. AF_07/2016</t>
  </si>
  <si>
    <t>chp</t>
  </si>
  <si>
    <t>Sinapi 5795</t>
  </si>
  <si>
    <t>Martelete ou rompedor pneumático manual, 28 kg, com silenciador - CHI diurno. AF_07/2016</t>
  </si>
  <si>
    <t>chi</t>
  </si>
  <si>
    <t>Sinapi 5952</t>
  </si>
  <si>
    <t>Azulejista ou ladrilhista com encargos complementares</t>
  </si>
  <si>
    <t>Sinapi 88256</t>
  </si>
  <si>
    <t>SF-00012</t>
  </si>
  <si>
    <t>Sinapi 97631</t>
  </si>
  <si>
    <t>SF-00013</t>
  </si>
  <si>
    <t>Sinapi 97662</t>
  </si>
  <si>
    <t>Encanador ou Bombeiro Hidráulico com Encargos Complementares</t>
  </si>
  <si>
    <t>Sinapi 88267</t>
  </si>
  <si>
    <t>SF-00014</t>
  </si>
  <si>
    <t>Sinapi 97627</t>
  </si>
  <si>
    <t>CABO DE ACO GALVANIZADO, DIAMETRO 9,53 MM (3/8"), COM ALMA DE FIBRA 6 X 25 F</t>
  </si>
  <si>
    <t>kg</t>
  </si>
  <si>
    <t>Sinapi 41954</t>
  </si>
  <si>
    <t>SF-00016</t>
  </si>
  <si>
    <t>SCO/RJ - SC 05.05.1750 Adaptada</t>
  </si>
  <si>
    <t>Carpinteiro de esquadria com encargos complementares</t>
  </si>
  <si>
    <t>SCO/RJ - SC 05.05.1750</t>
  </si>
  <si>
    <t>Sinapi 88261</t>
  </si>
  <si>
    <t>SF-00017</t>
  </si>
  <si>
    <t>Orse 8387 Adaptada</t>
  </si>
  <si>
    <t>Orse 8387</t>
  </si>
  <si>
    <t>SF-00018</t>
  </si>
  <si>
    <t>Pini 02.102.000032.SER Adaptada</t>
  </si>
  <si>
    <t>SF-00019</t>
  </si>
  <si>
    <t>SF-00020</t>
  </si>
  <si>
    <t>Pini 02.102.000043.SER Adaptada</t>
  </si>
  <si>
    <t>Pini 02.102.000043.SER</t>
  </si>
  <si>
    <t>SF-00021</t>
  </si>
  <si>
    <t>Ajudante especializado com encargos complementares</t>
  </si>
  <si>
    <t>Sinapi 88243</t>
  </si>
  <si>
    <t>SF-00022</t>
  </si>
  <si>
    <t>Orse 08857 Adaptada</t>
  </si>
  <si>
    <t>Ajudante de operação em geral com encargos complementares</t>
  </si>
  <si>
    <t>Orse 08857</t>
  </si>
  <si>
    <t>Sinapi 88241</t>
  </si>
  <si>
    <t>SF-00023</t>
  </si>
  <si>
    <t>Seinfra C1051 Adaptada</t>
  </si>
  <si>
    <t>Marmorista/graniteiro com encargos complementares</t>
  </si>
  <si>
    <t>Seinfra C1051</t>
  </si>
  <si>
    <t>Sinapi 88274</t>
  </si>
  <si>
    <t>SF-00024</t>
  </si>
  <si>
    <t>Sinapi 72178</t>
  </si>
  <si>
    <t>SF-00025</t>
  </si>
  <si>
    <t>Seinfra C3389 Adaptada</t>
  </si>
  <si>
    <t>Seinfra C3389</t>
  </si>
  <si>
    <t>SF-00026</t>
  </si>
  <si>
    <t>Pini 02.102.000031.SER Adaptada</t>
  </si>
  <si>
    <t>Pini 02.102.000031.SER</t>
  </si>
  <si>
    <t>SF-00027</t>
  </si>
  <si>
    <t>EMOP 17-60-92 Adaptada</t>
  </si>
  <si>
    <t>EMOP 17-60-92</t>
  </si>
  <si>
    <t>SF-00028</t>
  </si>
  <si>
    <t>Orse 04859 Adaptada</t>
  </si>
  <si>
    <t>Orse 04859</t>
  </si>
  <si>
    <t>SF-00029</t>
  </si>
  <si>
    <t>Sinapi 97644</t>
  </si>
  <si>
    <t>SF-00030</t>
  </si>
  <si>
    <t>Pini 02.102.000044.SER Adaptada</t>
  </si>
  <si>
    <t>Pini 02.102.000044.SER</t>
  </si>
  <si>
    <t>SF-00031</t>
  </si>
  <si>
    <t>Sinapi 97663</t>
  </si>
  <si>
    <t>SF-00032</t>
  </si>
  <si>
    <t>Sinapi 97665 Adaptada</t>
  </si>
  <si>
    <r>
      <t xml:space="preserve">Obs.: Remoção </t>
    </r>
    <r>
      <rPr>
        <b/>
        <u/>
        <sz val="10"/>
        <rFont val="Arial"/>
        <family val="2"/>
      </rPr>
      <t>com</t>
    </r>
    <r>
      <rPr>
        <b/>
        <sz val="10"/>
        <rFont val="Arial"/>
        <family val="2"/>
      </rPr>
      <t xml:space="preserve"> reaproveitamento</t>
    </r>
  </si>
  <si>
    <t>SF-00033</t>
  </si>
  <si>
    <t>Sinapi 97666</t>
  </si>
  <si>
    <t>SF-00034</t>
  </si>
  <si>
    <t>Orse 4715 Adaptada</t>
  </si>
  <si>
    <t>Orse 4715</t>
  </si>
  <si>
    <t>SF-00035</t>
  </si>
  <si>
    <t>Vidraceiro com encargos complementares</t>
  </si>
  <si>
    <t>Sinapi 88325</t>
  </si>
  <si>
    <t>SF-00036</t>
  </si>
  <si>
    <t>SF-00037</t>
  </si>
  <si>
    <t>ORSE 07725 Adaptada</t>
  </si>
  <si>
    <t>ORSE 07725</t>
  </si>
  <si>
    <t>SF-00038</t>
  </si>
  <si>
    <t>Sinapi 97640 Adaptada</t>
  </si>
  <si>
    <r>
      <t xml:space="preserve">Obs.: remoção </t>
    </r>
    <r>
      <rPr>
        <b/>
        <u/>
        <sz val="10"/>
        <rFont val="Arial"/>
        <family val="2"/>
      </rPr>
      <t>com</t>
    </r>
    <r>
      <rPr>
        <b/>
        <sz val="10"/>
        <rFont val="Arial"/>
        <family val="2"/>
      </rPr>
      <t xml:space="preserve"> reaproveitamento</t>
    </r>
  </si>
  <si>
    <t>SF-00039</t>
  </si>
  <si>
    <t>Auxiliar de eletricista com encargos complementares</t>
  </si>
  <si>
    <t>Sinapi 88247</t>
  </si>
  <si>
    <t>Orse 07224</t>
  </si>
  <si>
    <t>SF-00040</t>
  </si>
  <si>
    <t>SF-00041</t>
  </si>
  <si>
    <t>Orse 4858 Adaptada</t>
  </si>
  <si>
    <t>Orse 4858</t>
  </si>
  <si>
    <t>SF-00042</t>
  </si>
  <si>
    <t>Orse 10235 Adaptada</t>
  </si>
  <si>
    <t>Carpinteiro de formas com encargos complementares</t>
  </si>
  <si>
    <t>Orse 10235</t>
  </si>
  <si>
    <t>Sinapi 88262</t>
  </si>
  <si>
    <t>SF-00043</t>
  </si>
  <si>
    <t>Pini 02.102.000042.SER Adaptada</t>
  </si>
  <si>
    <t>Pini 02.102.000042.SER</t>
  </si>
  <si>
    <t>SF-00044</t>
  </si>
  <si>
    <t>Montador eletromecãnico com encargos complementares</t>
  </si>
  <si>
    <t>Sinapi 88279</t>
  </si>
  <si>
    <t>SF-00045</t>
  </si>
  <si>
    <t>Sinapi 85421</t>
  </si>
  <si>
    <t>SF-00046</t>
  </si>
  <si>
    <t>Orse 0026 Adaptada</t>
  </si>
  <si>
    <t>Orse 0026</t>
  </si>
  <si>
    <t>SF-00048</t>
  </si>
  <si>
    <t>LOCACAO DE ANDAIME METALICO TIPO FACHADEIRO, LARGURA DE 1,20 M, ALTURA POR PECA DE 2,0 M, INCLUINDO SAPATAS E ITENS NECESSARIOS A INSTALACAO</t>
  </si>
  <si>
    <t>M2XMES</t>
  </si>
  <si>
    <t>Sinapi 20193</t>
  </si>
  <si>
    <t>SF-00049</t>
  </si>
  <si>
    <t>Sinapi 10527</t>
  </si>
  <si>
    <t>LOCACAO DE ANDAIME METALICO TUBULAR DE ENCAIXE, TIPO DE TORRE, COM LARGURA DE 1 ATE 1,5 M E ALTURA DE *1,00* M</t>
  </si>
  <si>
    <t>MXMES</t>
  </si>
  <si>
    <t>SF-00051</t>
  </si>
  <si>
    <t>Sinapi 38200 Adaptada</t>
  </si>
  <si>
    <t>CORDA DE POLIAMIDA 12 MM TIPO BOMBEIRO, PARA TRABALHO EM ALTURA</t>
  </si>
  <si>
    <t>100m</t>
  </si>
  <si>
    <t>Sinapi 38200</t>
  </si>
  <si>
    <t>SF-00057</t>
  </si>
  <si>
    <t>Pini 02.101.000029.SER Adaptada</t>
  </si>
  <si>
    <t>Pini 02.101.000029.SER</t>
  </si>
  <si>
    <t>PONTALETE DE MADEIRA NAO APARELHADA *7,5 X 7,5* CM (3 X 3 ") PINUS, MISTA OU EQUIVALENTE DA REGIAO</t>
  </si>
  <si>
    <t>m</t>
  </si>
  <si>
    <t>Sinapi 4491</t>
  </si>
  <si>
    <t>Prego de aco polido com cabeca 18 x 27 (2 1/2 x 10)</t>
  </si>
  <si>
    <t>Sinapi 5061</t>
  </si>
  <si>
    <t>Tela fachadeira em polietileno, rolo de 3 x 100 m (L x C), cor branca, sem logomarca - para protecao de obras</t>
  </si>
  <si>
    <t>m2</t>
  </si>
  <si>
    <t>Sinapi 7170</t>
  </si>
  <si>
    <t>SF-00070</t>
  </si>
  <si>
    <t>Pini 02.101.000005.SER + Pini 24.103.000070.SER Adaptada</t>
  </si>
  <si>
    <t>Pini 02.101.000005.SER</t>
  </si>
  <si>
    <t>Chapa de madeira compensada resinada 1,10 x 2,20 m # 6 mm</t>
  </si>
  <si>
    <t>Pini 02.101.000005.MAT</t>
  </si>
  <si>
    <t>SARRAFO DE MADEIRA NAO APARELHADA *2,5 X 10 CM, MACARANDUBA, ANGELIM OU EQUIVALENTE DA REGIAO</t>
  </si>
  <si>
    <t>Sinapi 4460</t>
  </si>
  <si>
    <t>TABUA DE MADEIRA NAO APARELHADA *2,5 X 30* CM, CEDRINHO OU EQUIVALENTE DA REGIAO</t>
  </si>
  <si>
    <t>Sinapi 6189</t>
  </si>
  <si>
    <t>PREGO DE ACO POLIDO COM CABECA 18 X 30 (2 3/4 X 10)</t>
  </si>
  <si>
    <t>Sinapi 5075</t>
  </si>
  <si>
    <t>Ajudante de pintor com encargos complementares</t>
  </si>
  <si>
    <t>Pini 24.103.000070.SER</t>
  </si>
  <si>
    <t>Sinapi 100301</t>
  </si>
  <si>
    <t>Pintor com encargos complementares</t>
  </si>
  <si>
    <t>Sinapi 88310</t>
  </si>
  <si>
    <t>Oleo de linhaca</t>
  </si>
  <si>
    <t>L</t>
  </si>
  <si>
    <t>Sinapi 5333</t>
  </si>
  <si>
    <t>Cal hidratada para pintura</t>
  </si>
  <si>
    <t>Sinapi 11161</t>
  </si>
  <si>
    <t>Pigmento em po para argamassas, cimentos e outros</t>
  </si>
  <si>
    <t>Sinapi 5327</t>
  </si>
  <si>
    <t>SF-00073</t>
  </si>
  <si>
    <t>ORSE 02450 Adaptada</t>
  </si>
  <si>
    <t>ORSE 02450</t>
  </si>
  <si>
    <t>Sabao em po</t>
  </si>
  <si>
    <t>Sinapi 16</t>
  </si>
  <si>
    <t>Vassoura 40 cm com cabo</t>
  </si>
  <si>
    <t>Sinapi 38400</t>
  </si>
  <si>
    <t>SF-00074</t>
  </si>
  <si>
    <t>Sinapi 90447 + Sinapi 90466 Adaptada</t>
  </si>
  <si>
    <t>Sinapi 90447</t>
  </si>
  <si>
    <t>Auxiliar de encanador ou bombeiro hidráulico com encargos complementares</t>
  </si>
  <si>
    <t>Sinapi 90466</t>
  </si>
  <si>
    <t>Sinapi 88248</t>
  </si>
  <si>
    <t>ARGAMASSA TRAÇO 1:3 (EM VOLUME DE CIMENTO E AREIA MÉDIA ÚMIDA), PREPARO MANUAL. AF_08/2019</t>
  </si>
  <si>
    <t>m3</t>
  </si>
  <si>
    <t>Sinapi 88629 Adaptada</t>
  </si>
  <si>
    <t>SF-00075</t>
  </si>
  <si>
    <t>Sinapi 90440</t>
  </si>
  <si>
    <t>SF-00076</t>
  </si>
  <si>
    <t>Sinapi 90441</t>
  </si>
  <si>
    <t>SF-00077</t>
  </si>
  <si>
    <t>Sinapi 92873 + Sinapi 94963 Adaptada</t>
  </si>
  <si>
    <t>LANÇAMENTO COM USO DE BALDES, ADENSAMENTO E ACABAMENTO DE CONCRETO EM ESTRUTURAS. AF_12/2015</t>
  </si>
  <si>
    <t>Sinapi 92873</t>
  </si>
  <si>
    <t>Areia media - posto jazida/fornecedor (retirado na jazida, sem transporte)</t>
  </si>
  <si>
    <t>Sinapi 94963</t>
  </si>
  <si>
    <t>Sinapi 370</t>
  </si>
  <si>
    <t>Cimento Portland composto CP II-32</t>
  </si>
  <si>
    <t>Sinapi 1379</t>
  </si>
  <si>
    <t>Pedra britada n. 1 (9,5 a 19 mm) posto pedreira/fornecedor, sem frete</t>
  </si>
  <si>
    <t>Sinapi 4721</t>
  </si>
  <si>
    <t>Operador de betoneira estacionária/misturador com encargos complementares</t>
  </si>
  <si>
    <t>Sinapi 88377</t>
  </si>
  <si>
    <t>BETONEIRA CAPACIDADE NOMINAL DE 400 L, CAPACIDADE DE MISTURA 280 L, MOTOR ELÉTRICO TRIFÁSICO POTÊNCIA DE 2 CV, SEM CARREGADOR - CHP DIURNO. AF_10/2014</t>
  </si>
  <si>
    <t>Sinapi 88830</t>
  </si>
  <si>
    <t>BETONEIRA CAPACIDADE NOMINAL DE 400 L, CAPACIDADE DE MISTURA 280 L, MOTOR ELÉTRICO TRIFÁSICO POTÊNCIA DE 2 CV, SEM CARREGADOR - CHI DIURNO. AF_10/2014</t>
  </si>
  <si>
    <t>Sinapi 88831</t>
  </si>
  <si>
    <t>CARGA, MANOBRAS E DESCARGA DE AREIA, BRITA, PEDRA DE MAO E SOLOS COM CAMINHAO BASCULANTE 6 M3 (DESCARGA LIVRE)</t>
  </si>
  <si>
    <t>M3</t>
  </si>
  <si>
    <t>Sinapi 72888</t>
  </si>
  <si>
    <t>TRANSPORTE COM CAMINHÃO BASCULANTE DE 6 M3, EM VIA URBANA PAVIMENTADA, DMT ATÉ 30 KM (UNIDADE: M3xKM). AF_01/2018</t>
  </si>
  <si>
    <t>M3xKM</t>
  </si>
  <si>
    <t>Sinapi 97914</t>
  </si>
  <si>
    <t>Obs.: Considerando fornecedor de areia e brita a 20 km do Senado Federal.</t>
  </si>
  <si>
    <t>SF-00078</t>
  </si>
  <si>
    <t>Sinapi 92873 + Sinapi 94965 Adaptada</t>
  </si>
  <si>
    <t>Sinapi 94965</t>
  </si>
  <si>
    <t>SF-00079</t>
  </si>
  <si>
    <t>LOCACAO DE ESCORA METALICA TELESCOPICA, COM ALTURA REGULAVEL DE *1,80* A *3,20*M, COM CAPACIDADE DE CARGA DE NO MINIMO 1000 KGF (10 KN), INCLUSO TRIPE E FORCADO</t>
  </si>
  <si>
    <t>MES</t>
  </si>
  <si>
    <t>Pini 05.103.000060.SER</t>
  </si>
  <si>
    <t>Sinapi 10749</t>
  </si>
  <si>
    <t>Ajudante de carpinteiro com encargos complementares</t>
  </si>
  <si>
    <t>Pini 05.103.000061.SER</t>
  </si>
  <si>
    <t>Sinapi 88239</t>
  </si>
  <si>
    <t>SF-00080</t>
  </si>
  <si>
    <t>SCO/RJ ET 25.05.0180 (B) Adaptada</t>
  </si>
  <si>
    <t>ACETILENO (RECARGA PARA CILINDRO DE CONJUNTO OXICORTE GRANDE)</t>
  </si>
  <si>
    <t>SCO/RJ ET 25.05.0180 (B)</t>
  </si>
  <si>
    <t>Sinapi 1</t>
  </si>
  <si>
    <t>CANTONEIRA ACO ABAS IGUAIS (QUALQUER BITOLA), ESPESSURA ENTRE 1/8" E 1/4"</t>
  </si>
  <si>
    <t>Sinapi 4777</t>
  </si>
  <si>
    <t>Chapa de aco USI-SAC 350, de (2,44x6)m, com espessura de 1/2"</t>
  </si>
  <si>
    <t>ELETRODO REVESTIDO AWS - E7018, DIAMETRO IGUAL A 4,00 MM</t>
  </si>
  <si>
    <t>Sinapi 10997</t>
  </si>
  <si>
    <t>OXIGENIO, RECARGA PARA CILINDRO DE CONJUNTO OXICORTE GRANDE</t>
  </si>
  <si>
    <t>Sinapi 2</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</si>
  <si>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</si>
  <si>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</si>
  <si>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</si>
  <si>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</si>
  <si>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Talha Guincho manual de 10Kg, sem operador, com as seguintes especificacoes minimas: capacidade de icamento de 1500Kg e de tracao de 1800Kg, cabo de aco com curso ilimitado, alavanca, gancho e carretel. Custo horario corrido.</t>
  </si>
  <si>
    <t>SF-00081</t>
  </si>
  <si>
    <t>Sinapi 92451</t>
  </si>
  <si>
    <t>Desmoldante protetor para formas de madeira, de base oleosa emulsionada em agua</t>
  </si>
  <si>
    <t>Sinapi 2692</t>
  </si>
  <si>
    <t>TABUA DE MADEIRA NAO APARELHADA *2,5 X 20* CM, CEDRINHO OU EQUIVALENTE DA REGIAO</t>
  </si>
  <si>
    <t>Sinapi 6193</t>
  </si>
  <si>
    <t>Prego de aco polido com cabeca dupla 17 x 27 (2 1/2 x 11)</t>
  </si>
  <si>
    <t>Sinapi 40304</t>
  </si>
  <si>
    <t>Fabricação de fôrma para vigas, em chapa de madeira compensada resinada, E = 17 mm. AF_12/2015</t>
  </si>
  <si>
    <t>Sinapi 92265</t>
  </si>
  <si>
    <t>Fabricação de escoras de viga do tipo garfo, em madeira. af_12/2015</t>
  </si>
  <si>
    <t>Sinapi 92272</t>
  </si>
  <si>
    <t>SF-00082</t>
  </si>
  <si>
    <t>Pini 06.103.000505.SER + Sinapi 97914 Adaptada</t>
  </si>
  <si>
    <t>Pini 06.103.000505.SER</t>
  </si>
  <si>
    <t>Pedreiro Com Encargos Complementares</t>
  </si>
  <si>
    <t>Pedra britada n. 2 (19 a 38 mm) posto pedreira/fornecedor, sem frete</t>
  </si>
  <si>
    <t>Sinapi 4718</t>
  </si>
  <si>
    <t>Bloco de concreto tipo canaleta 11,5 x 19 x 39 cm</t>
  </si>
  <si>
    <t xml:space="preserve">un </t>
  </si>
  <si>
    <t>Pini 06.103.000505.MAT</t>
  </si>
  <si>
    <t>Aco CA-50, 10,0 mm, vergalhao</t>
  </si>
  <si>
    <t>Sinapi 34</t>
  </si>
  <si>
    <t>SF-00083</t>
  </si>
  <si>
    <t>Sinapi 98555</t>
  </si>
  <si>
    <t>Argamassa polimerica impermeabilizante semiflexivel, bicomponente (membrana impermeabilizante acrilica)</t>
  </si>
  <si>
    <t>Sinapi 135</t>
  </si>
  <si>
    <t>Impermeabilizador com encargos complementares</t>
  </si>
  <si>
    <t>Sinapi 88270</t>
  </si>
  <si>
    <t>SF-00084</t>
  </si>
  <si>
    <t>Sinapi 87503 Adaptada</t>
  </si>
  <si>
    <t>Bloco ceramico (alvenaria de vedacao), de 9 x 19 x 19 cm</t>
  </si>
  <si>
    <t>mil</t>
  </si>
  <si>
    <t>Sinapi 87503</t>
  </si>
  <si>
    <t>Sinapi 7266</t>
  </si>
  <si>
    <t>Tela de aco soldada galvanizada/zincada para alvenaria, fio D = *1,20 a 1,70* mm, malha 15 x 15 mm, (C x L) *50 x 7,5* cm</t>
  </si>
  <si>
    <t>Sinapi 34557</t>
  </si>
  <si>
    <t>Pino de aco com furo, haste = 27 mm (acao direta)</t>
  </si>
  <si>
    <t>cento</t>
  </si>
  <si>
    <t>Sinapi 37395</t>
  </si>
  <si>
    <t>ARGAMASSA TRAÇO 1:2:8 (EM VOLUME DE CIMENTO, CAL E AREIA MÉDIA ÚMIDA) PARA EMBOÇO/MASSA ÚNICA/ASSENTAMENTO DE ALVENARIA DE VEDAÇÃO, PREPARO MECÂNICO COM BETONEIRA 400 L. AF_08/2019</t>
  </si>
  <si>
    <t>Sinapi 87292 Adaptada</t>
  </si>
  <si>
    <t>SF-00085</t>
  </si>
  <si>
    <t>Sinapi 96370</t>
  </si>
  <si>
    <t>Pino de aco com arruela conica, diametro arruela = *23* mm e Comp haste = *27* mm (acao indireta)</t>
  </si>
  <si>
    <t>Sinapi 37586</t>
  </si>
  <si>
    <t>Chapa de gesso acartonado, Standard (ST), cor branca, E = 12,5 mm, 1200 x 2400 mm (L x C)</t>
  </si>
  <si>
    <t>Sinapi 39413</t>
  </si>
  <si>
    <t>Perfil guia, formato U, em aco zincado, para estrutura parede drywall, E = 0,5 mm, 70 x 3000 mm (L x C)</t>
  </si>
  <si>
    <t>Sinapi 39419</t>
  </si>
  <si>
    <t>Perfil montante, formato C, em aco zincado, para estrutura parede drywall, E = 0,5 mm, 70 x 3000 mm (L x C)</t>
  </si>
  <si>
    <t>Sinapi 39422</t>
  </si>
  <si>
    <t>Fita de papel microperfurado, 50 x 150 mm, para tratamento de juntas de chapa de gesso para drywall</t>
  </si>
  <si>
    <t>Sinapi 39431</t>
  </si>
  <si>
    <t>Fita de papel reforcada com lamina de metal para reforco de cantos de chapa de gesso para drywall</t>
  </si>
  <si>
    <t>Sinapi 39432</t>
  </si>
  <si>
    <t>Massa de rejunte em po para drywall, a base de gesso, secagem rapida, para tratamento de juntas de chapa de gesso (com adicao de agua)</t>
  </si>
  <si>
    <t>Sinapi 39434</t>
  </si>
  <si>
    <t>Parafuso dry wall, em aco fosfatizado, cabeca trombeta e ponta agulha (TA), comprimento 25 mm</t>
  </si>
  <si>
    <t>Sinapi 39435</t>
  </si>
  <si>
    <t>Parafuso dry wall, em aco zincado, cabeca lentilha e ponta broca (LB), largura 4,2 mm, comprimento 13 mm</t>
  </si>
  <si>
    <t>Sinapi 39443</t>
  </si>
  <si>
    <t>SF-00086</t>
  </si>
  <si>
    <t>Sinapi 93202 Adaptada</t>
  </si>
  <si>
    <t>Tijolo ceramico macico *5 x 10 x 20* cm</t>
  </si>
  <si>
    <t>Sinapi 93202</t>
  </si>
  <si>
    <t>Sinapi 7258</t>
  </si>
  <si>
    <t>ARGAMASSA TRAÇO 1:2:9 (EM VOLUME DE CIMENTO, CAL E AREIA MÉDIA ÚMIDA) PARA EMBOÇO/MASSA ÚNICA/ASSENTAMENTO DE ALVENARIA DE VEDAÇÃO, PREPARO MECÂNICO COM BETONEIRA 600 L. AF_08/2019</t>
  </si>
  <si>
    <t>Sinapi 87294 Adaptada</t>
  </si>
  <si>
    <t>SF-00087</t>
  </si>
  <si>
    <t>Sinapi 96358</t>
  </si>
  <si>
    <t>Pino De Aco Com Arruela Conica, Diametro Arruela = *23* Mm E Comp Haste = *27* Mm (Acao Indireta)</t>
  </si>
  <si>
    <t>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</si>
  <si>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</si>
  <si>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</si>
  <si>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</si>
  <si>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</si>
  <si>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(Com Adicao De Agua)</t>
  </si>
  <si>
    <t>Parafuso Dry Wall, Em Aco Fosfatizado, Cabeca Trombeta E Ponta Agulha (Ta), Comprimento 25 Mm</t>
  </si>
  <si>
    <t>Parafuso Dry Wall, Em Aco Zincado, Cabeca Lentilha E Ponta Broca (Lb), Largura 4,2 Mm, Comprimento 13 Mm</t>
  </si>
  <si>
    <t>SF-00088</t>
  </si>
  <si>
    <t>Sinapi 96370 Adaptada</t>
  </si>
  <si>
    <t>SF-00089</t>
  </si>
  <si>
    <t>Sinapi 87471 + Sinapi 87545 Adaptada</t>
  </si>
  <si>
    <t>Sinapi 87471</t>
  </si>
  <si>
    <t>Bloco ceramico de vedacao com furos na vertical, 9 x 19 x 39 cm - 4,5 MPa (NBR 15270)</t>
  </si>
  <si>
    <t>Sinapi 37592</t>
  </si>
  <si>
    <t>Sinapi 87545</t>
  </si>
  <si>
    <t>SF-00090</t>
  </si>
  <si>
    <t>Sinapi 87872</t>
  </si>
  <si>
    <t>ARGAMASSA INDUSTRIALIZADA PARA CHAPISCO COLANTE, PREPARO COM MISTURADOR DE EIXO HORIZONTAL DE 300 KG. AF_08/2019</t>
  </si>
  <si>
    <t>Sinapi 87396</t>
  </si>
  <si>
    <t>SF-00091</t>
  </si>
  <si>
    <t>Sinapi 87878 Adaptada</t>
  </si>
  <si>
    <t>ARGAMASSA TRAÇO 1:3 (EM VOLUME DE CIMENTO E AREIA GROSSA ÚMIDA) PARA CHAPISCO CONVENCIONAL, PREPARO MANUAL. AF_08/2019</t>
  </si>
  <si>
    <t>Sinapi 87878</t>
  </si>
  <si>
    <t>Sinapi 87377 Adaptada</t>
  </si>
  <si>
    <t>SF-00092</t>
  </si>
  <si>
    <t>Sinapi 87419 Adaptada</t>
  </si>
  <si>
    <t>Gesseiro com encargos complementares</t>
  </si>
  <si>
    <t>Sinapi 87419</t>
  </si>
  <si>
    <t>Sinapi 88269</t>
  </si>
  <si>
    <t>Gesso cola</t>
  </si>
  <si>
    <t>Obs.: Fonte para o coeficiente do gesso (0,75 kg/m2) : http://www.gessotrevo.com.br/gesso_cola.php - acesso em 16/08/18</t>
  </si>
  <si>
    <t>SF-00093</t>
  </si>
  <si>
    <t>Sinapi 87398 + Sinapi 87531 Adaptada</t>
  </si>
  <si>
    <t>Argamassa industrializada multiuso, para revestimento interno e externo e assentamento de blocos diversos</t>
  </si>
  <si>
    <t>Sinapi 87398 Adaptada</t>
  </si>
  <si>
    <t>Sinapi 371</t>
  </si>
  <si>
    <t>Sinapi 87531</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</si>
  <si>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</si>
  <si>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</si>
  <si>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</si>
  <si>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Sinapi 87398 + Sinapi 87549 Adaptada</t>
  </si>
  <si>
    <t>Sinapi 87549 Adaptada</t>
  </si>
  <si>
    <t>SF-00095</t>
  </si>
  <si>
    <t>Pini 06.103.000460.SER Adaptada</t>
  </si>
  <si>
    <t>Pini 06.103.000460.SER</t>
  </si>
  <si>
    <t>Tela de poliéster adesiva largura 150mm e reforço central de 50mm</t>
  </si>
  <si>
    <t>Pini 06.103.000460.MAT</t>
  </si>
  <si>
    <t>RESINA ACRILICA BASE AGUA - COR BRANCA</t>
  </si>
  <si>
    <t>Sinapi 7353</t>
  </si>
  <si>
    <t>SELANTE A BASE DE RESINAS ACRILICAS PARA TRINCAS</t>
  </si>
  <si>
    <t>Sinapi 6094</t>
  </si>
  <si>
    <t>Obs.: Rendimento da resina e do selante de acordo com recomendações do fabricante (Bautech). Consumo médio. Selante: 5 m por kg. Resina: 165 m2 por embalagem de 18 L.</t>
  </si>
  <si>
    <t>http://www.bautechbrasil.com.br/produtos/selantes-especiais/bautech-selante-acr%C3%ADlico</t>
  </si>
  <si>
    <t>http://www.bautechbrasil.com.br/produtos/pinturas-especiais-e-complementos/bautech-resina-acr%C3%ADlica-multiuso</t>
  </si>
  <si>
    <t>SF-00096</t>
  </si>
  <si>
    <t>Sinapi 88414 Adaptada</t>
  </si>
  <si>
    <t>Sinapi 88414</t>
  </si>
  <si>
    <t>Fundo selador a base d'água</t>
  </si>
  <si>
    <t>SF-00097</t>
  </si>
  <si>
    <t>Sinapi 100720 Adaptada</t>
  </si>
  <si>
    <t>Sinapi 100720</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</si>
  <si>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</si>
  <si>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</si>
  <si>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</si>
  <si>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</si>
  <si>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</si>
  <si>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Sinapi 96132</t>
  </si>
  <si>
    <t>Lixa em folha para parede ou madeira, numero 120 (cor vermelha)</t>
  </si>
  <si>
    <t>Sinapi 3767</t>
  </si>
  <si>
    <t>Massa acrilica para paredes interior/exterior</t>
  </si>
  <si>
    <t>gl</t>
  </si>
  <si>
    <t>Sinapi 4056</t>
  </si>
  <si>
    <t>SF-00099</t>
  </si>
  <si>
    <t>Sinapi 88497</t>
  </si>
  <si>
    <t>Massa corrida PVA para paredes internas</t>
  </si>
  <si>
    <t>18L</t>
  </si>
  <si>
    <t>Sinapi 4051</t>
  </si>
  <si>
    <t>SF-00100</t>
  </si>
  <si>
    <t>Sinapi 88489</t>
  </si>
  <si>
    <t>Tinta acrilica premium, cor branco fosco</t>
  </si>
  <si>
    <t>Sinapi 7356</t>
  </si>
  <si>
    <t>SF-00101</t>
  </si>
  <si>
    <t>Sinapi 6082 Adaptada</t>
  </si>
  <si>
    <t>Sinapi 6082</t>
  </si>
  <si>
    <t>Verniz a base de água para madeira</t>
  </si>
  <si>
    <t>SF-00102</t>
  </si>
  <si>
    <t>Sinapi 73739/1 Adaptada</t>
  </si>
  <si>
    <t>Sinapi 73739/1</t>
  </si>
  <si>
    <t>Tinta esmalte sintetico a base de água</t>
  </si>
  <si>
    <t>SF-00103</t>
  </si>
  <si>
    <t>Sinapi 88488</t>
  </si>
  <si>
    <t>SF-00104</t>
  </si>
  <si>
    <t>Sinapi 87273 Adaptada</t>
  </si>
  <si>
    <t>REVESTIMENTO EM CERAMICA ESMALTADA EXTRA, PEI MAIOR OU IGUAL 4, FORMATO MAIOR A 2025 CM2</t>
  </si>
  <si>
    <t>Sinapi 87273</t>
  </si>
  <si>
    <t>Sinapi 10515</t>
  </si>
  <si>
    <t>Argamassa colante AC-II</t>
  </si>
  <si>
    <t>Sinapi 34353</t>
  </si>
  <si>
    <t>Rejunte colorido, cimenticio</t>
  </si>
  <si>
    <t>Sinapi 34357</t>
  </si>
  <si>
    <t>SF-00105</t>
  </si>
  <si>
    <t>Sinapi 87642 Adaptada</t>
  </si>
  <si>
    <t>ARGAMASSA TRAÇO 1:4 (EM VOLUME DE CIMENTO E AREIA MÉDIA ÚMIDA) PARA CONTRAPISO, PREPARO MANUAL. AF_08/2019</t>
  </si>
  <si>
    <t>Sinapi 87642</t>
  </si>
  <si>
    <t>Sinapi 87373 Adaptada</t>
  </si>
  <si>
    <t>Aditivo adesivo liquido para argamassas de revestimentos cimenticios</t>
  </si>
  <si>
    <t>Sinapi 7334</t>
  </si>
  <si>
    <t>SF-00106</t>
  </si>
  <si>
    <t>Sinapi 87622 Adaptada</t>
  </si>
  <si>
    <t>Sinapi 87622</t>
  </si>
  <si>
    <t>SF-00107</t>
  </si>
  <si>
    <t>Sinapi 98671 Adaptada</t>
  </si>
  <si>
    <t>Argamassa colante tipo ACIII</t>
  </si>
  <si>
    <t>Sinapi 98671</t>
  </si>
  <si>
    <t>Sinapi 37595</t>
  </si>
  <si>
    <t>Rejunte branco, cimenticio</t>
  </si>
  <si>
    <t>Sinapi 34356</t>
  </si>
  <si>
    <t>Granito Cinza Andorinha, com 20 mm de espessura, para piso</t>
  </si>
  <si>
    <t>SF-00108</t>
  </si>
  <si>
    <t>Sinapi 98685 Adaptada</t>
  </si>
  <si>
    <t>Granito Cinza Andorinha, com 20 mm de espessura e 70 mm de altura, para rodapé</t>
  </si>
  <si>
    <t>Obs: na pesquisa de preços do insumo, considerou-se 1 m de polimento a cada metro de rodapé.</t>
  </si>
  <si>
    <t>SF-00109</t>
  </si>
  <si>
    <t>Sinapi 98689 Adaptada</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</si>
  <si>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</si>
  <si>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</si>
  <si>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</si>
  <si>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</si>
  <si>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</si>
  <si>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</si>
  <si>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</si>
  <si>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</si>
  <si>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</si>
  <si>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Sinapi 84162 Adaptada</t>
  </si>
  <si>
    <t>Cola A Base De Resina Sintetica Para Chapa De Laminado Melaminico</t>
  </si>
  <si>
    <t>Sinapi 84162</t>
  </si>
  <si>
    <t>Sinapi 1339</t>
  </si>
  <si>
    <t>SF-00114</t>
  </si>
  <si>
    <t>Mármore Bege Bahia, com 20 mm de espessura, para piso e parede</t>
  </si>
  <si>
    <t>SF-00115</t>
  </si>
  <si>
    <t>Sinapi 98672 Adaptada</t>
  </si>
  <si>
    <t>Sinapi 98672</t>
  </si>
  <si>
    <t>Mármore Branco Especial, com 20 mm de espessura, para piso e parede</t>
  </si>
  <si>
    <t>SF-00116</t>
  </si>
  <si>
    <t>Cola a base de resina sintetica para chapa de laminado melaminico</t>
  </si>
  <si>
    <t>Rodape de madeira macica cumaru/ipe champanhe ou equivalente da regiao, *1,5 x 7 cm</t>
  </si>
  <si>
    <t>Sinapi 6186</t>
  </si>
  <si>
    <t>SF-00117</t>
  </si>
  <si>
    <t>SF-00118</t>
  </si>
  <si>
    <t>SF-00119</t>
  </si>
  <si>
    <t>SF-00120</t>
  </si>
  <si>
    <t>SF-00121</t>
  </si>
  <si>
    <t>ABERTURA PARA ENCAIXE DE CUBA OU LAVATORIO EM BANCADA DE MARMORE/ GRANITO OU OUTRO TIPO DE PEDRA NATURAL</t>
  </si>
  <si>
    <t>Sinapi 38605</t>
  </si>
  <si>
    <t>SF-00122</t>
  </si>
  <si>
    <t>FURO PARA TORNEIRA OU OUTROS ACESSORIOS  EM BANCADA DE MARMORE/ GRANITO OU OUTRO TIPO DE PEDRA NATURAL</t>
  </si>
  <si>
    <t>Sinapi 38633</t>
  </si>
  <si>
    <t>SF-00123</t>
  </si>
  <si>
    <t>Granito Cinza Andorinha ou equivalente, com 20 mm de espessura e 150 mm de altura, polido, para rodabancada</t>
  </si>
  <si>
    <t>SF-00124</t>
  </si>
  <si>
    <t>Sinapi 86889 Adaptada</t>
  </si>
  <si>
    <t>Granito Cinza Andorinha, com 20 mm de espessura, polido, para bancadas, com testeira com acabamento em meia esquadria</t>
  </si>
  <si>
    <t>Cantoneira ferro galvanizado de abas iguais, 1" x 1/8" (L x E) , 1,20kg/m</t>
  </si>
  <si>
    <t>Orse 10759</t>
  </si>
  <si>
    <t>Sinapi 567</t>
  </si>
  <si>
    <t>Rejunte epoxi branco</t>
  </si>
  <si>
    <t>Sinapi 37329</t>
  </si>
  <si>
    <t>SF-00125</t>
  </si>
  <si>
    <t>Sinapi 79627 Adaptada</t>
  </si>
  <si>
    <t>Cimento branco</t>
  </si>
  <si>
    <t>Sinapi 79627</t>
  </si>
  <si>
    <t>Sinapi 1380</t>
  </si>
  <si>
    <t>Granito Cinza Andorinha ou equivalente, com 20 mm de espessura, polido em todas as faces aparentes, para divisórias</t>
  </si>
  <si>
    <t>ARGAMASSA TRAÇO 1:4 (EM VOLUME DE CIMENTO E AREIA MÉDIA ÚMIDA), PREPARO MANUAL. AF_08/2019</t>
  </si>
  <si>
    <t>Sinapi 88631 Adaptada</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</si>
  <si>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</si>
  <si>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</si>
  <si>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</si>
  <si>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</si>
  <si>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</si>
  <si>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</si>
  <si>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Sinapi 98685</t>
  </si>
  <si>
    <t>SF-00130</t>
  </si>
  <si>
    <t>Sinapi 98689</t>
  </si>
  <si>
    <t>SF-00131</t>
  </si>
  <si>
    <t>Mármore Branco Especial, com 20 mm de espessura e 150 mm de altura, polido, para rodabancada</t>
  </si>
  <si>
    <t>SF-00138</t>
  </si>
  <si>
    <t>Pini 06.102.000005.SER Adaptada</t>
  </si>
  <si>
    <t>Instalação de divisórias # 35 mm estruturadas em perfis de alumínio, mão de obra para execução</t>
  </si>
  <si>
    <t>Pini 06.102.000005.SER</t>
  </si>
  <si>
    <t>Pini 06.102.000005.MOE</t>
  </si>
  <si>
    <t>SF-00139</t>
  </si>
  <si>
    <t>Perfil tipo cantoneira em L, em aco galvanizado, branco, para forro removivel, *23* x 3000 mm (L x C)</t>
  </si>
  <si>
    <t>Sinapi 39572</t>
  </si>
  <si>
    <t>Placa de PVC com espessura mínima de 5 mm na cor branca</t>
  </si>
  <si>
    <t>SF-00140</t>
  </si>
  <si>
    <t>Sinapi 96116 Adaptada</t>
  </si>
  <si>
    <t>ARAME GALVANIZADO 6 BWG, D = 5,16 MM (0,157 KG/M), OU 8 BWG, D = 4,19 MM (0,101 KG/M), OU 10 BWG, D = 3,40 MM (0,0713 KG/M)</t>
  </si>
  <si>
    <t>Sinapi 96116</t>
  </si>
  <si>
    <t>Sinapi 43131</t>
  </si>
  <si>
    <t>Forro de PVC, frisado, branco, regua de 10 cm, espessura de 8 mm a 10 mm e comprimento 6 m (sem colocacao)</t>
  </si>
  <si>
    <t>Sinapi 36230</t>
  </si>
  <si>
    <t>Perfil canaleta, formato C, em aco zincado, para estrutura forro drywall, E = 0,5 mm, *46 x 18* (L x H), comprimento 3 m</t>
  </si>
  <si>
    <t>Sinapi 39427</t>
  </si>
  <si>
    <t>Pendural ou presilha reguladora, em aco galvanizado, com corpo, mola e rebite, para perfil tipo canaleta de estrutura em forros drywall</t>
  </si>
  <si>
    <t>Sinapi 39430</t>
  </si>
  <si>
    <t>PARAFUSO ZINCADO, AUTOBROCANTE, FLANGEADO, 4,2 MM X 19 MM</t>
  </si>
  <si>
    <t>Sinapi 40547</t>
  </si>
  <si>
    <t>PARAFUSO, AUTO ATARRACHANTE, CABECA CHATA, FENDA SIMPLES, 1/4 (6,35 MM) X 25 MM</t>
  </si>
  <si>
    <t>Sinapi 40552</t>
  </si>
  <si>
    <t>SF-00141</t>
  </si>
  <si>
    <t>Sinapi 96486</t>
  </si>
  <si>
    <t>SF-00142</t>
  </si>
  <si>
    <t>Forro de PVC modular em placas de 625 mm x 1250 mm</t>
  </si>
  <si>
    <t>SF-00143</t>
  </si>
  <si>
    <t>Pini 21.104.000040.SER Adaptada</t>
  </si>
  <si>
    <t>Pini 21.104.000040.SER</t>
  </si>
  <si>
    <t>Forro em chapa galvanizada</t>
  </si>
  <si>
    <t>Pintura eletrostática</t>
  </si>
  <si>
    <t>SF-00144</t>
  </si>
  <si>
    <t>Sinapi 96114</t>
  </si>
  <si>
    <t>SF-00145</t>
  </si>
  <si>
    <t>Sinapi 96114 Adaptada</t>
  </si>
  <si>
    <t>SF-00146</t>
  </si>
  <si>
    <t>Sinapi 39511</t>
  </si>
  <si>
    <t>FORRO DE FIBRA MINERAL EM PLACAS DE 625 X 625 MM, E = 15 MM, BORDA RETA, COM PINTURA ANTIMOFO, APOIADO EM PERFIL DE ACO GALVANIZADO COM 24 MM DE BASE - INSTALADO</t>
  </si>
  <si>
    <t>SF-00147</t>
  </si>
  <si>
    <t>Pini 21.101.000010.SER Adaptada</t>
  </si>
  <si>
    <t>Placa de fibra mineral para forro, de 625 x 625 mm, E = 15 mm, borda reta, com pintura antimofo (nao inclui perfis)</t>
  </si>
  <si>
    <t>UN</t>
  </si>
  <si>
    <t>Pini 21.101.000010.SER</t>
  </si>
  <si>
    <t>Sinapi 39514</t>
  </si>
  <si>
    <t>SF-00148</t>
  </si>
  <si>
    <t>SF-00149</t>
  </si>
  <si>
    <t>SF-00150</t>
  </si>
  <si>
    <t>Sinapi 96121 Adaptada</t>
  </si>
  <si>
    <t>Perfil tabica fechada, lisa, formato Z, em aco galvanizado natural, largura total na horizontal *40* mm, para estrutura forro drywall</t>
  </si>
  <si>
    <t>Sinapi 96121</t>
  </si>
  <si>
    <t>Sinapi 39428</t>
  </si>
  <si>
    <t>SF-00151</t>
  </si>
  <si>
    <t>Seinfra C1914 Adaptada</t>
  </si>
  <si>
    <t>Seinfra C1914</t>
  </si>
  <si>
    <t>ADESIVO ACRILICO/COLA DE CONTATO</t>
  </si>
  <si>
    <t>Sinapi 4791</t>
  </si>
  <si>
    <t>SF-00152</t>
  </si>
  <si>
    <t>Baguetes metálicos</t>
  </si>
  <si>
    <t>SF-00153</t>
  </si>
  <si>
    <t>Sedop 270629 Adaptada</t>
  </si>
  <si>
    <t>Sedop 270629</t>
  </si>
  <si>
    <t>Massa para vidro</t>
  </si>
  <si>
    <t>Sinapi 10498</t>
  </si>
  <si>
    <t>SF-00154</t>
  </si>
  <si>
    <t>Sinapi 85005 Adaptada</t>
  </si>
  <si>
    <t>Parafuso frances M16 em aco galvanizado, comprimento = 45 mm, diametro = 16 mm, cabeca abaulada</t>
  </si>
  <si>
    <t>Sinapi 85005</t>
  </si>
  <si>
    <t>Sinapi 442</t>
  </si>
  <si>
    <t>Espelho cristal comum #5mm</t>
  </si>
  <si>
    <t>Pini 27.107.000100.MAT</t>
  </si>
  <si>
    <t>SF-00155</t>
  </si>
  <si>
    <t>Sinapi 72117 Adaptada</t>
  </si>
  <si>
    <t>Sinapi 72117</t>
  </si>
  <si>
    <t>SF-00156</t>
  </si>
  <si>
    <t>Silicone acetico uso geral incolor 280 g</t>
  </si>
  <si>
    <t>Sinapi 39961</t>
  </si>
  <si>
    <t>Obs.: considerando que cada bisnaga rende, no mínimo, 3 m de aplicação.</t>
  </si>
  <si>
    <t>SF-00157</t>
  </si>
  <si>
    <t>Vidro liso incolor 4mm - sem colocacao</t>
  </si>
  <si>
    <t>Sinapi 10492</t>
  </si>
  <si>
    <t>SF-00158</t>
  </si>
  <si>
    <t>Sinapi 84959</t>
  </si>
  <si>
    <t>VIDRO LISO INCOLOR 6 MM - SEM COLOCACAO</t>
  </si>
  <si>
    <t>Sinapi 10491</t>
  </si>
  <si>
    <t>SF-00159</t>
  </si>
  <si>
    <t>Orse 05041 Adaptada</t>
  </si>
  <si>
    <t>SF-00160</t>
  </si>
  <si>
    <t>Sinapi 84886 Adaptada</t>
  </si>
  <si>
    <t>Sinapi 84886</t>
  </si>
  <si>
    <t>Mola Hidráulica de piso universal para portas de batente e portas vai-e-vem em aço inoxidável. Ref.: DORMA, modelo BTS 75V, com eixo intercambiável tipo "B"</t>
  </si>
  <si>
    <t>Impermeabilizante Dorma SealProtect</t>
  </si>
  <si>
    <t>SF-00161</t>
  </si>
  <si>
    <t>SF-00166</t>
  </si>
  <si>
    <t>Orse 03707 Adaptada</t>
  </si>
  <si>
    <t>Orse 03707</t>
  </si>
  <si>
    <t>Vedacao PVC, 100 mm, para saida vaso sanitario</t>
  </si>
  <si>
    <t>Sinapi 95469</t>
  </si>
  <si>
    <t>Sinapi 6138</t>
  </si>
  <si>
    <t>Tubo de ligação para bacia sanitária em PVC, com acabamento cromado, ajustável ou não. Ref.: DECA 1968C ou equivalente</t>
  </si>
  <si>
    <t>SF-00167</t>
  </si>
  <si>
    <t>Sinapi 89512</t>
  </si>
  <si>
    <t>Adesivo plastico para PVC, frasco com 850 gr</t>
  </si>
  <si>
    <t>Sinapi 122</t>
  </si>
  <si>
    <t>Tubo PVC, serie R, DN 100 mm, para esgoto ou aguas pluviais predial (NBR 5688)</t>
  </si>
  <si>
    <t>Sinapi 9841</t>
  </si>
  <si>
    <t>Solucao limpadora para PVC, frasco com 1000 cm3</t>
  </si>
  <si>
    <t>Sinapi 20083</t>
  </si>
  <si>
    <t>Lixa d'agua em folha, grao 100</t>
  </si>
  <si>
    <t>Sinapi 38383</t>
  </si>
  <si>
    <t>SF-00168</t>
  </si>
  <si>
    <t>Sinapi 89508</t>
  </si>
  <si>
    <t>Tubo PVC, serie R, DN 40 mm, para esgoto ou aguas pluviais predial (NBR 5688)</t>
  </si>
  <si>
    <t>Sinapi 20067</t>
  </si>
  <si>
    <t>SF-00169</t>
  </si>
  <si>
    <t>Sinapi 89509</t>
  </si>
  <si>
    <t>Tubo PVC, serie R, DN 50 mm, para esgoto ou aguas pluviais predial (NBR 5688)</t>
  </si>
  <si>
    <t>Sinapi 20068</t>
  </si>
  <si>
    <t>SF-00170</t>
  </si>
  <si>
    <t>Sinapi 89511</t>
  </si>
  <si>
    <t>Tubo PVC, serie R, DN 75 mm, para esgoto ou aguas pluviais predial (NBR 5688)</t>
  </si>
  <si>
    <t>Sinapi 9839</t>
  </si>
  <si>
    <t>SF-00171</t>
  </si>
  <si>
    <t>Sinapi 89446</t>
  </si>
  <si>
    <t>Tubo PVC, soldavel, DN 25 mm, agua fria (NBR-5648)</t>
  </si>
  <si>
    <t>Sinapi 9868</t>
  </si>
  <si>
    <t>SF-00172</t>
  </si>
  <si>
    <t>Sinapi 89447</t>
  </si>
  <si>
    <t>Tubo PVC, soldavel, DN 32 mm, agua fria (NBR-5648)</t>
  </si>
  <si>
    <t>Sinapi 9869</t>
  </si>
  <si>
    <t>SF-00173</t>
  </si>
  <si>
    <t>Sinapi 89448</t>
  </si>
  <si>
    <t>Tubo PVC, soldavel, DN 40 mm, agua fria (NBR-5648)</t>
  </si>
  <si>
    <t>Sinapi 9874</t>
  </si>
  <si>
    <t>SF-00174</t>
  </si>
  <si>
    <t>Sinapi 89449</t>
  </si>
  <si>
    <t>TUBO PVC, SOLDAVEL, DN 50 MM, PARA AGUA FRIA (NBR-5648)</t>
  </si>
  <si>
    <t>Sinapi 9875</t>
  </si>
  <si>
    <t>SF-00175</t>
  </si>
  <si>
    <t>Sinapi 89987 Adaptada</t>
  </si>
  <si>
    <t>Base registro gaveta 3/4" em liga de cobre, mod 4509.202 ref: DECA ou equivalente</t>
  </si>
  <si>
    <t>Sinapi 89987</t>
  </si>
  <si>
    <t>Pesquisa de preços</t>
  </si>
  <si>
    <t>FITA VEDA ROSCA EM ROLOS DE 18 MM X 50 M (L X C)</t>
  </si>
  <si>
    <t>Sinapi 3148</t>
  </si>
  <si>
    <t>SF-00176</t>
  </si>
  <si>
    <t>Sinapi 89708</t>
  </si>
  <si>
    <t>Anel borracha para tubo esgoto predial DN 75 mm (NBR 5688)</t>
  </si>
  <si>
    <t>Sinapi 297</t>
  </si>
  <si>
    <t>Caixa sifonada PVC, 150 x 185 x 75 mm, com grelha quadrada branca</t>
  </si>
  <si>
    <t>Sinapi 11714</t>
  </si>
  <si>
    <t>Pasta lubrificante para tubos e conexoes com junta elastica (uso em PVC, aco, polietileno e outros) ( de *400* g)</t>
  </si>
  <si>
    <t>Sinapi 20078</t>
  </si>
  <si>
    <t>SF-00177</t>
  </si>
  <si>
    <t>Sinapi 89708 Adaptada</t>
  </si>
  <si>
    <t>CAIXA SIFONADA PVC, 250 X 230 X 75 MM, COM TAMPA E PORTA TAMPA QUADRADA BRANCA</t>
  </si>
  <si>
    <t>Sinapi 11880</t>
  </si>
  <si>
    <t>SF-00178</t>
  </si>
  <si>
    <t>Orse 09419 Adaptada</t>
  </si>
  <si>
    <t>Grelha quadrada para ralo, com caixilho, dimensões 10x10cm, em Aço polido, ref.: Moldenox ou equivalente</t>
  </si>
  <si>
    <t>Orse 09419</t>
  </si>
  <si>
    <t>SF-00179</t>
  </si>
  <si>
    <t>Grelha quadrada para ralo, com caixilho, dimensões 15x15cm, em Aço polido, ref.: Moldenox ou equivalente</t>
  </si>
  <si>
    <t>SF-00180</t>
  </si>
  <si>
    <t>Sinapi 89710</t>
  </si>
  <si>
    <t>Ralo seco PVC conico, 100 x 40 mm,  com grelha redonda branca</t>
  </si>
  <si>
    <t>Sinapi 11739</t>
  </si>
  <si>
    <t>SF-00181</t>
  </si>
  <si>
    <t>Orse 02056 Adaptada</t>
  </si>
  <si>
    <t>Assento poliéster com fixação cromada na cor branco gelo, ref: AP.75.17 – Linha Fast/Aspen – Deca ou equivalente</t>
  </si>
  <si>
    <t>Orse 02056</t>
  </si>
  <si>
    <t>SF-00182</t>
  </si>
  <si>
    <t>Sinapi 95470 Adaptada</t>
  </si>
  <si>
    <t>Bacia sanitaria (vaso) convencional de louca branca</t>
  </si>
  <si>
    <t>Sinapi 95470</t>
  </si>
  <si>
    <t>Sinapi 10420</t>
  </si>
  <si>
    <t>Parafuso niquelado com acabamento cromado para fixar peca sanitaria, inclui porca cega, arruela e bucha de nylon tamanho S-10</t>
  </si>
  <si>
    <t>Sinapi 4384</t>
  </si>
  <si>
    <t>SF-00183</t>
  </si>
  <si>
    <t>Sinapi 95471 Adaptada</t>
  </si>
  <si>
    <t>Bacia convencional com saída horizontal (Modelo P.90.17 – Linha Ravena – Deca)</t>
  </si>
  <si>
    <t>Sinapi 95471</t>
  </si>
  <si>
    <t>SF-00184</t>
  </si>
  <si>
    <t>Sinapi 86901 Adaptada</t>
  </si>
  <si>
    <t>Cuba oval de embutir, mod.: L37, cor branca ref: DECA ou equivalente</t>
  </si>
  <si>
    <t>Sinapi 86901</t>
  </si>
  <si>
    <t>Massa plastica para marmore/granito</t>
  </si>
  <si>
    <t>Sinapi 4823</t>
  </si>
  <si>
    <t>SF-00185</t>
  </si>
  <si>
    <t>Sinapi 86900 Adaptada</t>
  </si>
  <si>
    <t>Cuba retangular com as dimensões 0,34x0,40x0,18m, em aço Inox AISI 304 com acabamento em alto brilho, com válvula de escoamento, ref: Franke 12646 ou equivalente</t>
  </si>
  <si>
    <t>Sinapi 86900</t>
  </si>
  <si>
    <t>SF-00186</t>
  </si>
  <si>
    <t>Cuba semi-encaixe com mesa, mod.: L830 ref: DECA ou equivalente</t>
  </si>
  <si>
    <t>SF-00187</t>
  </si>
  <si>
    <t>Sinapi 86904 Adaptada</t>
  </si>
  <si>
    <t>Parafuso niquelado 3 1/2" com acabamento cromado para fixar peca sanitaria, inclui porca cega, arruela e bucha de nylon tamanho S-8</t>
  </si>
  <si>
    <t>Sinapi 86904</t>
  </si>
  <si>
    <t>Sinapi 4351</t>
  </si>
  <si>
    <t>SF-00188</t>
  </si>
  <si>
    <t>Sinapi 100858 Adaptada</t>
  </si>
  <si>
    <t>Sinapi 100858</t>
  </si>
  <si>
    <t>Fita veda rosca em rolos de 18 mm x 10 m (L x C)</t>
  </si>
  <si>
    <t>Sinapi 3146</t>
  </si>
  <si>
    <t>Obs.: Redução do coeficiente de MO, considerando que esse serviço não inclui engate flexível e válvula de descarga.</t>
  </si>
  <si>
    <t>SF-00189</t>
  </si>
  <si>
    <t>Sinapi 95469 Adaptada</t>
  </si>
  <si>
    <t>SF-00190</t>
  </si>
  <si>
    <t>Lavatorio louca branca suspenso *40 x 30* cm</t>
  </si>
  <si>
    <t>Sinapi 10425</t>
  </si>
  <si>
    <t>SF-00191</t>
  </si>
  <si>
    <t>Mictorio sifonado louca branca sem complementos</t>
  </si>
  <si>
    <t>Sinapi 10432</t>
  </si>
  <si>
    <t>SF-00192</t>
  </si>
  <si>
    <t>Sinapi 86874 Adaptada</t>
  </si>
  <si>
    <t>Tanque de louça com capacidade de 38 litros na cor branca, suspenso, sem coluna</t>
  </si>
  <si>
    <t>Sinapi 86874</t>
  </si>
  <si>
    <t>SF-00193</t>
  </si>
  <si>
    <t>Orse 8436 Adaptada</t>
  </si>
  <si>
    <t>Acabamento para registro de gaveta de 1 ¼” a 1 ½” (GD), cromado. Ref.: Modelo 4900.C35.GD – Linha Aspen – Deca</t>
  </si>
  <si>
    <t>Orse 8436</t>
  </si>
  <si>
    <t>SF-00194</t>
  </si>
  <si>
    <t>Acabamento para registro de gaveta e pressão até 1” (PQ), cromado. Ref.: Modelo, 4900.C35.PQ – Linha Aspen – Deca</t>
  </si>
  <si>
    <t>SF-00195</t>
  </si>
  <si>
    <t>Pini 26.108.000090.SER Adaptada</t>
  </si>
  <si>
    <t>Ducha higiênica com registro e derivação, com gatilho branco e flexível de 1,2m. Ref.: Modelo 1984.C35.ACT – Linha Aspen – Deca</t>
  </si>
  <si>
    <t>Pini 26.108.000090.SER</t>
  </si>
  <si>
    <t>SF-00196</t>
  </si>
  <si>
    <t>Sinapi 95541</t>
  </si>
  <si>
    <t>SF-00197</t>
  </si>
  <si>
    <t>Sinapi 86887</t>
  </si>
  <si>
    <t>Engate / rabicho flexivel inox 1/2 " x 40 cm</t>
  </si>
  <si>
    <t>Sinapi 11684</t>
  </si>
  <si>
    <t>SF-00198</t>
  </si>
  <si>
    <t>Sinapi 86881 Adaptada</t>
  </si>
  <si>
    <t>Sifão regulável com tubo de saída corrugado para cozinha, cromado.  Ref.: Modelo VSM182 – Esteves</t>
  </si>
  <si>
    <t>Sinapi 86881</t>
  </si>
  <si>
    <t>SF-00199</t>
  </si>
  <si>
    <t>Sifao em metal cromado para pia ou lavatorio, 1 x 1.1/2 "</t>
  </si>
  <si>
    <t>Sinapi 6136</t>
  </si>
  <si>
    <t>SF-00200</t>
  </si>
  <si>
    <t>Sifao em metal cromado para tanque, 1.1/4 x 1.1/2 "</t>
  </si>
  <si>
    <t>Sinapi 38638</t>
  </si>
  <si>
    <t>SF-00201</t>
  </si>
  <si>
    <t>Sinapi 86909 Adaptada</t>
  </si>
  <si>
    <t>Torneira de mesa para cozinha, cromada. Ref.: Deca Targa 1167.C40.CR</t>
  </si>
  <si>
    <t>Sinapi 86909</t>
  </si>
  <si>
    <t>SF-00202</t>
  </si>
  <si>
    <t>Torneira de mesa bica móvel com arejador articulado para cozinha, cromada. Ref.: Código B5814C2CRB – Linha City – Celite</t>
  </si>
  <si>
    <t>SF-00203</t>
  </si>
  <si>
    <t>Sinapi 86915 Adaptada</t>
  </si>
  <si>
    <t>Torneira de mesa para lavatório, para uso clínico e apoio à pessoa. Ref.: Deca Link 1196.CLNK</t>
  </si>
  <si>
    <t>Sinapi 86915</t>
  </si>
  <si>
    <t>SF-00204</t>
  </si>
  <si>
    <t>Torneira de mesa para lavatorio, bica alta, com arejador, cromado. Ref.: Código B5810C2CRB – Linha City – Celite</t>
  </si>
  <si>
    <t>SF-00205</t>
  </si>
  <si>
    <t>Torneira de mesa para lavatorio bica baixa. Ref.: Código B5811C2CRB – Linha City – Celite</t>
  </si>
  <si>
    <t>SF-00206</t>
  </si>
  <si>
    <t>TORNEIRA CROMADA DE MESA PARA LAVATORIO TEMPORIZADA PRESSAO BICA BAIXA</t>
  </si>
  <si>
    <t>Sinapi 36796</t>
  </si>
  <si>
    <t>SF-00207</t>
  </si>
  <si>
    <t>Sinapi 86910 Adaptada</t>
  </si>
  <si>
    <t>Torneira de parede para cozinha bica móvel com arejador articulado, cromada. Ref.: Código B5815C2CRB – Linha City – Celite</t>
  </si>
  <si>
    <t>Sinapi 86910</t>
  </si>
  <si>
    <t>SF-00208</t>
  </si>
  <si>
    <t>Sinapi 86914 Adaptada</t>
  </si>
  <si>
    <t>Sinapi 86914</t>
  </si>
  <si>
    <t>Torneira cromada com bico para jardim/tanque 1/2 " ou 3/4 " (ref 1153)</t>
  </si>
  <si>
    <t>Sinapi 11762</t>
  </si>
  <si>
    <t>SF-00209</t>
  </si>
  <si>
    <t>Sinapi 99635 Adaptada</t>
  </si>
  <si>
    <t xml:space="preserve">Válvula de descarga 1 1/2" cromada. ref.: modelo 2565.C.112.CONF – linha Hydra Eco Conforto – Deca </t>
  </si>
  <si>
    <t>Sinapi 99635</t>
  </si>
  <si>
    <t>Fita veda rosca em rolos de 18 mm x 50 m (L x C)</t>
  </si>
  <si>
    <t>SF-00210</t>
  </si>
  <si>
    <t>Valvula de descarga metalica, base 1 1/2 " e acabamento metalico cromado</t>
  </si>
  <si>
    <t>Sinapi 10228</t>
  </si>
  <si>
    <t>SF-00211</t>
  </si>
  <si>
    <t>Válvula de descarga 1 1/4" . Ref.: Modelo 2565.C.114.CONF – Linha Hydra Eco Conforto – Deca</t>
  </si>
  <si>
    <t>SF-00212</t>
  </si>
  <si>
    <t>Valvula de descarga metalica, base 1 1/4 " e acabamento metalico cromado</t>
  </si>
  <si>
    <t>Sinapi 11781</t>
  </si>
  <si>
    <t>SF-00213</t>
  </si>
  <si>
    <t>Sinapi 86877 Adaptada</t>
  </si>
  <si>
    <t>Valvula em metal cromado para lavatorio, 1 " sem ladrao</t>
  </si>
  <si>
    <t>Sinapi 86877</t>
  </si>
  <si>
    <t>Sinapi 38643</t>
  </si>
  <si>
    <t>SF-00214</t>
  </si>
  <si>
    <t>Sinapi 86879 Adaptada</t>
  </si>
  <si>
    <t>Sinapi 86879</t>
  </si>
  <si>
    <t>Valvula em metal cromado para tanque, 1.1/2 " sem ladrao</t>
  </si>
  <si>
    <t>Sinapi 37588</t>
  </si>
  <si>
    <t>SF-00215</t>
  </si>
  <si>
    <t>Valvula de descarga em metal cromado para mictorio com acionamento por pressao e fechamento automatico</t>
  </si>
  <si>
    <t>Sinapi 21112</t>
  </si>
  <si>
    <t>SF-00216</t>
  </si>
  <si>
    <t>Pini 15.101.000050.SER Adaptada</t>
  </si>
  <si>
    <t>Pini 15.101.000050.SER</t>
  </si>
  <si>
    <t xml:space="preserve">Alarme de emergência audiovisual intermitente com fio. Ref. Planeta Acessível Alarme PCD ou AbaFire AFSAVPNE + AbaFire AFAMPNE </t>
  </si>
  <si>
    <t>SF-00217</t>
  </si>
  <si>
    <t>Pini 26.104.000060.SER Adaptada</t>
  </si>
  <si>
    <t>Barra de apoio com comprimento de 405mm e espaçamento de 66mm da parede, barra com bitola de 32m, em aço escovado</t>
  </si>
  <si>
    <t>Pini 26.104.000060.SER</t>
  </si>
  <si>
    <t>Bucha de nylon, diametro do furo 8 mm, comprimento 40 mm, com parafuso de rosca soberba, cabeca chata, fenda simples, 4,8 x 50 mm</t>
  </si>
  <si>
    <t>Sinapi 4350</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</si>
  <si>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</si>
  <si>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</si>
  <si>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</si>
  <si>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</si>
  <si>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</si>
  <si>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</si>
  <si>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Pini 26.104.000050.SER Adaptada</t>
  </si>
  <si>
    <t>SF-00221</t>
  </si>
  <si>
    <t>Lavatório para instalação com coluna suspensa, para apoio à pessoa com deficiência. Ref.: Modelo L.39.17 – Linha Spot – Deca</t>
  </si>
  <si>
    <t>SF-00222</t>
  </si>
  <si>
    <t>Sinapi 86903 Adaptada</t>
  </si>
  <si>
    <t>Sinapi 86903</t>
  </si>
  <si>
    <t>Coluna suspensa para lavatório para apoio à pessoa com deficiência. Ref..: Deca Spot CS.39.17</t>
  </si>
  <si>
    <t>SF-00223</t>
  </si>
  <si>
    <t>Sinapi 95542 Adaptada</t>
  </si>
  <si>
    <t>Cabide, cromado. Ref.: Modelo 2060.C.FLX – Linha Flex – Deca</t>
  </si>
  <si>
    <t>Sinapi 95542</t>
  </si>
  <si>
    <t>Fixação utilizando parafuso e bucha de nylon, somente mão de obra. af_10/2016</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</si>
  <si>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</si>
  <si>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</si>
  <si>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</si>
  <si>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</si>
  <si>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</si>
  <si>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</si>
  <si>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</si>
  <si>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Sinapi 91941 Adaptada</t>
  </si>
  <si>
    <t>Sinapi 91941</t>
  </si>
  <si>
    <t>Caixa de passagem, em PVC, de 4" x 2", para eletroduto flexivel corrugado</t>
  </si>
  <si>
    <t>Sinapi 1872</t>
  </si>
  <si>
    <t>SF-00228</t>
  </si>
  <si>
    <t>Caixa 4x2 para drywall</t>
  </si>
  <si>
    <t>SF-00229</t>
  </si>
  <si>
    <t>Sinapi 91944 Adaptada</t>
  </si>
  <si>
    <t>Sinapi 91944</t>
  </si>
  <si>
    <t>Caixa de passagem, em PVC, de 4" x 4", para eletroduto flexivel corrugado</t>
  </si>
  <si>
    <t>Sinapi 1873</t>
  </si>
  <si>
    <t>SF-00230</t>
  </si>
  <si>
    <t>Caixa 4x4 para drywall</t>
  </si>
  <si>
    <t>SF-00231</t>
  </si>
  <si>
    <t>Sinapi 100556 Adaptada</t>
  </si>
  <si>
    <t>Sinapi 100556</t>
  </si>
  <si>
    <t>Caixa de passagem em alumínio c/ tampa, 100x100x50mm</t>
  </si>
  <si>
    <t>SF-00232</t>
  </si>
  <si>
    <t>Caixa de passagem em alumínio c/ tampa, 200x200x100mm</t>
  </si>
  <si>
    <t>SF-00233</t>
  </si>
  <si>
    <t>CAIXA DE PASSAGEM ELETRICA DE PAREDE, DE EMBUTIR, EM PVC, COM TAMPA APARAFUSADA, DIMENSOES 150 X 150 X *75* MM</t>
  </si>
  <si>
    <t>Sinapi 39811</t>
  </si>
  <si>
    <t>SF-00234</t>
  </si>
  <si>
    <t>Caixa para piso elevado, 170 mm x 170 mm x 70 mm (dimensões aproximadas), incluindo módulos de tomadas 2P+T (fêmea).</t>
  </si>
  <si>
    <t>SF-00235</t>
  </si>
  <si>
    <t>Pini 16.111.000015.SER Adaptada</t>
  </si>
  <si>
    <t>Canaleta em alumínio com tampa, divisória interna, 73x25mm, incluindo curvas, conexões e acessórios de fixação</t>
  </si>
  <si>
    <t>Pini 16.111.000015.SER</t>
  </si>
  <si>
    <t>SF-00236</t>
  </si>
  <si>
    <t>Sinapi 95802</t>
  </si>
  <si>
    <t>Bucha de nylon sem aba S6, com parafuso de 4,20 x 40 mm em aco zincado com rosca soberba, cabeca chata e fenda Phillips</t>
  </si>
  <si>
    <t>Sinapi 11950</t>
  </si>
  <si>
    <t>Condulete de aluminio tipo X, para eletroduto roscavel de 1", com tampa cega</t>
  </si>
  <si>
    <t>Sinapi 2581</t>
  </si>
  <si>
    <t>SF-00237</t>
  </si>
  <si>
    <t>Pini 16.113.000350.SER Adaptada</t>
  </si>
  <si>
    <t>Tiro com pistola para fixação de pino Ø 1/4" em concreto, inclusive cartucho e pino</t>
  </si>
  <si>
    <t>Pini 16.113.000350.MAT</t>
  </si>
  <si>
    <t>Eletrocalha perfurada (cabos elétricos) ou lisa (dados), tipo "U", de aço galvanizado eletrolítico 100 x 50 mm, fabricado em chapa #20 (0,95 mm)</t>
  </si>
  <si>
    <t>Barra roscada em aço Ø 1/4", comprimento 1 m, bicromatizada ou zincada</t>
  </si>
  <si>
    <t>PORCA ZINCADA, SEXTAVADA, DIAMETRO 1/4"</t>
  </si>
  <si>
    <t>Sinapi 39997</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</si>
  <si>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</si>
  <si>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</si>
  <si>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</si>
  <si>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</si>
  <si>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</si>
  <si>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</si>
  <si>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</si>
  <si>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Pini 16.113.000377.SER Adaptada</t>
  </si>
  <si>
    <t>Pini 16.113.000377.MAT</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</si>
  <si>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</si>
  <si>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</si>
  <si>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</si>
  <si>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</si>
  <si>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</si>
  <si>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Pini 16.113.000356.SER Adaptada</t>
  </si>
  <si>
    <t>Pini 16.113.000356.SER</t>
  </si>
  <si>
    <t>Pini 16.113.000356.MAT</t>
  </si>
  <si>
    <t>Eletrocalha perfurada (cabos elétricos) ou lisa (dados), tipo "U", de aço galvanizado eletrolítico 200 x 50 mm, fabricado em chapa #18 (1,25 mm)</t>
  </si>
  <si>
    <t>Suporte suspensão omega para eletrocalha 200 x 50 mm largura x aba</t>
  </si>
  <si>
    <t>SF-00240</t>
  </si>
  <si>
    <t>Pini 16.113.000380.SER Adaptada</t>
  </si>
  <si>
    <t>Pini 16.113.000380.MAT</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</si>
  <si>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</si>
  <si>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</si>
  <si>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</si>
  <si>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</si>
  <si>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Pini 16.113.000359.SER Adaptada</t>
  </si>
  <si>
    <t>Pini 16.113.000359.SER</t>
  </si>
  <si>
    <t>Pini 16.113.000359.MAT</t>
  </si>
  <si>
    <t>Eletrocalha perfurada (cabos elétricos) ou lisa (dados), tipo "U", de aço galvanizado eletrolítico 300 x 050 mm, fabricado em chapa #18 (1,25 mm)</t>
  </si>
  <si>
    <t>Suporte suspensão omega para eletrocalha 300 x 50 mm largura x aba</t>
  </si>
  <si>
    <t>SF-00242</t>
  </si>
  <si>
    <t>Pini 16.113.000362.SER Adaptada</t>
  </si>
  <si>
    <t>Pini 16.113.000362.MAT</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</si>
  <si>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</si>
  <si>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</si>
  <si>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</si>
  <si>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</si>
  <si>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Pini 16.113.000344.SER Adaptada</t>
  </si>
  <si>
    <t>Pini 16.113.000344.MAT</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</si>
  <si>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</si>
  <si>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</si>
  <si>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</si>
  <si>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</si>
  <si>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Sinapi 95752 Adaptada</t>
  </si>
  <si>
    <t>Eletroduto de aço com costura galvanização eletrolítica Ø 1 1/2"</t>
  </si>
  <si>
    <t>Sinapi 95752</t>
  </si>
  <si>
    <t>Pini 16.111.000204.MAT</t>
  </si>
  <si>
    <t>Fixação de tubos verticais de PPR diâmetros menores ou iguais a 40 mm com abraçadeira metálica rígida tipo D 1/2", fixada em perfilado em alvenaria. af_05/2015</t>
  </si>
  <si>
    <t>Sinapi 91173</t>
  </si>
  <si>
    <t>Luva de emenda para eletroduto, aço galvanizado, DN 40 mm (1 1/2''), aparente, instalada em parede - fornecimento e instalação. af_11/2016_p</t>
  </si>
  <si>
    <t>Sinapi 95760</t>
  </si>
  <si>
    <t>SF-00245</t>
  </si>
  <si>
    <t>Sinapi 95751 Adaptada</t>
  </si>
  <si>
    <t>Eletroduto de aço com costura galvanização eletrolítica Ø 1 1/4"</t>
  </si>
  <si>
    <t>Sinapi 95751</t>
  </si>
  <si>
    <t>Pini 16.111.000203.MAT</t>
  </si>
  <si>
    <t>Luva de emenda para eletroduto, aço galvanizado, DN 32 mm (1 1/4''), aparente, instalada em parede - fornecimento e instalação. af_11/2016_p</t>
  </si>
  <si>
    <t>Sinapi 95759</t>
  </si>
  <si>
    <t>SF-00246</t>
  </si>
  <si>
    <t>Sinapi 95750 Adaptada</t>
  </si>
  <si>
    <t>Eletroduto de aço com costura galvanização eletrolítica Ø 1"</t>
  </si>
  <si>
    <t>Sinapi 95750</t>
  </si>
  <si>
    <t>Pini 16.111.000202.MAT</t>
  </si>
  <si>
    <t>Luva de emenda para eletroduto, aço galvanizado, DN 25 mm (1''), aparente, instalada em parede - fornecimento e instalação. af_11/2016_p</t>
  </si>
  <si>
    <t>Sinapi 95758</t>
  </si>
  <si>
    <t>SF-00247</t>
  </si>
  <si>
    <t>Eletroduto de aço com costura galvanização eletrolítica Ø 2"</t>
  </si>
  <si>
    <t>Pini 16.111.000205.MAT</t>
  </si>
  <si>
    <t>FIXAÇÃO DE TUBOS VERTICAIS DE PPR DIÂMETROS MAIORES QUE 40 MM E MENORES OU IGUAIS A 75 MM COM ABRAÇADEIRA METÁLICA RÍGIDA TIPO D 2", FIXADA EM PERFILADO EM ALVENARIA. AF_05/2015</t>
  </si>
  <si>
    <t>M</t>
  </si>
  <si>
    <t>Sinapi 91174 Adaptada</t>
  </si>
  <si>
    <t>Luva de emenda para eletroduto, aço galvanizado, DN 50 mm (2''), aparente, instalada em parede - fornecimento e instalação. af_11/2016_p</t>
  </si>
  <si>
    <t>Sinapi 95760 Adaptada</t>
  </si>
  <si>
    <t>SF-00248</t>
  </si>
  <si>
    <t>Sinapi 95749 Adaptada</t>
  </si>
  <si>
    <t>Eletroduto de aço com costura galvanização eletrolítica Ø 3/4"</t>
  </si>
  <si>
    <t>Sinapi 95749</t>
  </si>
  <si>
    <t>Pini 16.111.000201.MAT</t>
  </si>
  <si>
    <t>Luva de emenda para eletroduto, aço galvanizado, DN 20 mm (3/4''), aparente, instalada em parede - fornecimento e instalação. af_11/2016_p</t>
  </si>
  <si>
    <t>Sinapi 95757</t>
  </si>
  <si>
    <t>SF-00249</t>
  </si>
  <si>
    <t>Sinapi 91836 Adaptada</t>
  </si>
  <si>
    <t>Eletroduto PVC flexivel corrugado, reforcado, cor laranja, de 32 mm, para lajes e pisos</t>
  </si>
  <si>
    <t>Sinapi 91836</t>
  </si>
  <si>
    <t>Sinapi 39245</t>
  </si>
  <si>
    <t>Fixação de tubos horizontais de PVC, CPVC ou cobre diâmetros menores ou iguais a 40 mm ou eletrocalhas até 150mm de largura, com abraçadeira metálica rígida tipo d 1/2, fixada em perfilado em laje. af_05/2015</t>
  </si>
  <si>
    <t>Sinapi 91170</t>
  </si>
  <si>
    <t>SF-00250</t>
  </si>
  <si>
    <t>Sinapi 91834 Adaptada</t>
  </si>
  <si>
    <t>Sinapi 91834</t>
  </si>
  <si>
    <t>Eletroduto PVC flexivel corrugado, reforcado, cor laranja, de 25 mm, para lajes e pisos</t>
  </si>
  <si>
    <t>Sinapi 39244</t>
  </si>
  <si>
    <t>SF-00251</t>
  </si>
  <si>
    <t>Sinapi 91846 Adaptada</t>
  </si>
  <si>
    <t>Eletroduto flexivel, em aco galvanizado, revestido externamente com PVC preto, diametro externo de 32 mm (1"), tipo sealtubo</t>
  </si>
  <si>
    <t>Sinapi 91846</t>
  </si>
  <si>
    <t>Sinapi 2501</t>
  </si>
  <si>
    <t>ARAME RECOZIDO 16 BWG, D = 1,60 MM (0,016 KG/M) OU 18 BWG, D = 1,25 MM (0,01 KG/M)</t>
  </si>
  <si>
    <t>Sinapi 43132</t>
  </si>
  <si>
    <t>SF-00252</t>
  </si>
  <si>
    <t>Sinapi 91844 Adaptada</t>
  </si>
  <si>
    <t>Eletroduto flexivel, em aco galvanizado, revestido externamente com PVC preto, diametro externo de 25 mm (3/4"), tipo sealtubo</t>
  </si>
  <si>
    <t>Sinapi 91844</t>
  </si>
  <si>
    <t>Sinapi 2504</t>
  </si>
  <si>
    <t>SF-00253</t>
  </si>
  <si>
    <t>Pini 16.113.000972.SER Adaptada</t>
  </si>
  <si>
    <t>Perfilado perfurado em aço galvanizado # 18, 38 x 38 mm</t>
  </si>
  <si>
    <t>Pini 16.113.000972.SER</t>
  </si>
  <si>
    <t>Pini 16.113.000972.MAT</t>
  </si>
  <si>
    <t>Suporte curto para perfilado em aço galvanizado # 22, 38 mm x 100 mm</t>
  </si>
  <si>
    <t>Tala 4 furos para emenda 38 mm</t>
  </si>
  <si>
    <t>Tampa de encaixe para perfilado em aço galvanizado 38 mm</t>
  </si>
  <si>
    <t>SF-00254</t>
  </si>
  <si>
    <t>Sinapi 91947</t>
  </si>
  <si>
    <t>Espelho / placa de 3 postos 4" x 2", para instalacao de tomadas e interruptores</t>
  </si>
  <si>
    <t>Sinapi 38094</t>
  </si>
  <si>
    <t>Suporte de fixacao para espelho / placa 4" x 2", para 3 modulos, para instalacao de tomadas e interruptores (somente suporte)</t>
  </si>
  <si>
    <t>Sinapi 38099</t>
  </si>
  <si>
    <t>SF-00255</t>
  </si>
  <si>
    <t>Sinapi 91951</t>
  </si>
  <si>
    <t>Espelho / placa de 6 postos 4" x 4", para instalacao de tomadas e interruptores</t>
  </si>
  <si>
    <t>Sinapi 38098</t>
  </si>
  <si>
    <t>Suporte de fixacao para espelho / placa 4" x 4", para 6 modulos, para instalacao de tomadas e interruptores (somente suporte)</t>
  </si>
  <si>
    <t>Sinapi 38100</t>
  </si>
  <si>
    <t>SF-00256</t>
  </si>
  <si>
    <t>Sinapi 91947 Adaptada</t>
  </si>
  <si>
    <t>Espelho cego redondo</t>
  </si>
  <si>
    <t>SF-00257</t>
  </si>
  <si>
    <t>Pini 16.115.000201.SER Adaptada</t>
  </si>
  <si>
    <t>Pini 16.115.000191.SER</t>
  </si>
  <si>
    <t xml:space="preserve">Tampa para condulete alumínio para eletrodutos de 1", de sobrepor , com conexões e acessórios. </t>
  </si>
  <si>
    <t>Interruptor para condulete alumínio para eletrodutos de 1’’, de sobrepor, com conexões e acessórios.</t>
  </si>
  <si>
    <t>SF-00258</t>
  </si>
  <si>
    <t>Orse 00711 Adaptada</t>
  </si>
  <si>
    <t>Orse 00711</t>
  </si>
  <si>
    <t>Módulo cego</t>
  </si>
  <si>
    <t>SF-00259</t>
  </si>
  <si>
    <t>Sinapi 91954</t>
  </si>
  <si>
    <t>Interruptor paralelo 10A, 250V (apenas modulo)</t>
  </si>
  <si>
    <t>Sinapi 38113</t>
  </si>
  <si>
    <t>SF-00260</t>
  </si>
  <si>
    <t>Sinapi 91952</t>
  </si>
  <si>
    <t>Interruptor simples 10A, 250V (apenas modulo)</t>
  </si>
  <si>
    <t>Sinapi 38112</t>
  </si>
  <si>
    <t>SF-00261</t>
  </si>
  <si>
    <t>Módulo para saída de fio</t>
  </si>
  <si>
    <t>SF-00262</t>
  </si>
  <si>
    <t>Sinapi 91954 Adaptada</t>
  </si>
  <si>
    <t>Módulo sensor de presença</t>
  </si>
  <si>
    <t>SF-00263</t>
  </si>
  <si>
    <t>Sinapi 91998</t>
  </si>
  <si>
    <t>TOMADA 2P+T 10A, 250V  (APENAS MODULO)</t>
  </si>
  <si>
    <t>Sinapi 38101</t>
  </si>
  <si>
    <t>SF-00264</t>
  </si>
  <si>
    <t>Sinapi 91999</t>
  </si>
  <si>
    <t>TOMADA 2P+T 20A, 250V  (APENAS MODULO)</t>
  </si>
  <si>
    <t>Sinapi 38102</t>
  </si>
  <si>
    <t>SF-00265</t>
  </si>
  <si>
    <t>Pini 16.115.000180.SER Adaptada</t>
  </si>
  <si>
    <t>Pini 16.115.000180.SER</t>
  </si>
  <si>
    <t/>
  </si>
  <si>
    <t>Porta equipamentos para canaleta de alumínio aparente</t>
  </si>
  <si>
    <t>SF-00266</t>
  </si>
  <si>
    <t xml:space="preserve">Tampa cega para caixa de piso 4x2 cromada. </t>
  </si>
  <si>
    <t>SF-00267</t>
  </si>
  <si>
    <t xml:space="preserve">Tampa cega para caixa de piso 4x4 cromada. </t>
  </si>
  <si>
    <t>SF-00268</t>
  </si>
  <si>
    <t>SEINFRA C2298</t>
  </si>
  <si>
    <t>Tampa cega para condulete alumínio para eletrodutos de 1’’, de sobrepor, com conexões e acessórios.</t>
  </si>
  <si>
    <t>SF-00269</t>
  </si>
  <si>
    <t>Espelho para dois módulos RJ45 para condulete alumínio para eletrodutos de 1’’, de sobrepor, com conexões e acessórios.</t>
  </si>
  <si>
    <t>SF-00270</t>
  </si>
  <si>
    <t>Sinapi 91994 Adaptada</t>
  </si>
  <si>
    <t>Sinapi 91994</t>
  </si>
  <si>
    <t xml:space="preserve">Tomada para condulete alumínio para eletrodutos de 1’’, de sobrepor, com conexões e acessórios. </t>
  </si>
  <si>
    <t>SF-00271</t>
  </si>
  <si>
    <t>Pini 16.113.000020.SER Adaptada</t>
  </si>
  <si>
    <t>Pini 16.113.000020.SER</t>
  </si>
  <si>
    <t>Caixa com tampa fixa em perfil para tomada em perfilado</t>
  </si>
  <si>
    <t>Pini 16.113.000020.MAT</t>
  </si>
  <si>
    <t>Tomada de embutir 2 polos + terra sem placa 250 V 10 A</t>
  </si>
  <si>
    <t>SF-00272</t>
  </si>
  <si>
    <t>Sinapi 97599 Adaptada</t>
  </si>
  <si>
    <t>Bloco autônomo (luminária de emergência). Ref.: Aureon BLOKITO BLK 500 (9901.0000.1079.05 – Aclaramento e 9901.0000.1128.05 – balizamento)</t>
  </si>
  <si>
    <t>Sinapi 97599</t>
  </si>
  <si>
    <t>SF-00273</t>
  </si>
  <si>
    <t>Sinapi 97587 Adaptada</t>
  </si>
  <si>
    <t>Sinapi 97587</t>
  </si>
  <si>
    <t>Cabo PP 3x2,5mm2 300/500 V, extraflexível (classe 5), com condutor de proteção, com isolação, enchimento e cobertura de PVC</t>
  </si>
  <si>
    <t>Plugue (macho) com 3 polos (2P+T), para 10A</t>
  </si>
  <si>
    <t>Plugue (fêmea) com 3 polos (2P+T), para 10A</t>
  </si>
  <si>
    <t>SF-00274</t>
  </si>
  <si>
    <t>Luminária de embutir T5 2 x 14W, ref: Intral DE-500 (cod. 08017); Lumicenter FAA20-E214</t>
  </si>
  <si>
    <t>Reator eletrônico 2x14W, ref: Philips EB214A26; Philips EL214-28A26; Lumicenter LEB. 214; MarGirus PB 2X14 AF2</t>
  </si>
  <si>
    <t>Lâmpada fluorescente T5 de 14W, ref: Osram HE 14W/840 SMARTLUX; Philips TL5-14W-HE/840; GE F14W/T5/840</t>
  </si>
  <si>
    <t>SF-00275</t>
  </si>
  <si>
    <t>Sinapi 97585 Adaptada</t>
  </si>
  <si>
    <t>Luminária de sobrepor T5 2 x 14W, ref: Intral DS-500 (cod. 08021); Lumicenter FAA20-S214</t>
  </si>
  <si>
    <t>Sinapi 97585</t>
  </si>
  <si>
    <t>SF-00276</t>
  </si>
  <si>
    <t>Luminária de embutir T5 2 x 28W, ref: Intral DE-500 (cod. 08025); Lumicenter FAA20-E228</t>
  </si>
  <si>
    <t>Reator eletrônico 2x28W, ref: Philips EB228A26; Philips EL214-28A26; Intral REH-T5 2x28/127-220/50-60 (cod. 02475); MarGirus PB 2X28 AF2.</t>
  </si>
  <si>
    <t>Lâmpada fluorescente T5 de 28W, ref: Osram HE 28W/840 SMARTLUX; Philips TL5-28W-HE/840; GE F28W/T5/840</t>
  </si>
  <si>
    <t>SF-00277</t>
  </si>
  <si>
    <t>Luminária de sobrepor T5 2 x 28W, ref: Intral DS-500 (cod. 08029); Lumicenter FAA20-S228</t>
  </si>
  <si>
    <t>SF-00278</t>
  </si>
  <si>
    <t>Sinapi 92980 Adaptada</t>
  </si>
  <si>
    <t>Sinapi 92980</t>
  </si>
  <si>
    <t>Cabo flexível isolado em EPR não halogenado 10 mm² 0,6 a 1 kV</t>
  </si>
  <si>
    <t>Pini 16.119.000304.MAT</t>
  </si>
  <si>
    <t>Fita isolante adesiva antichama, uso ate 750 V, em rolo de 19 mm x 5 m</t>
  </si>
  <si>
    <t>Sinapi 21127</t>
  </si>
  <si>
    <t>SF-00279</t>
  </si>
  <si>
    <t>Sinapi 92982 Adaptada</t>
  </si>
  <si>
    <t>Sinapi 92982</t>
  </si>
  <si>
    <t>Cabo flexível isolado em EPR não halogenado 16 mm² 0,6 a 1 kV</t>
  </si>
  <si>
    <t>Pini 16.119.000305.MAT</t>
  </si>
  <si>
    <t>SF-00280</t>
  </si>
  <si>
    <t>Sinapi 91926 Adaptada</t>
  </si>
  <si>
    <t>Sinapi 91926</t>
  </si>
  <si>
    <t>Cabo de cobre isolado PVC 450/750V 2,5mm² resistente a chamas, livre de halogênios</t>
  </si>
  <si>
    <t>SF-00281</t>
  </si>
  <si>
    <t>Sinapi 91930 Adaptada</t>
  </si>
  <si>
    <t>Sinapi 91930</t>
  </si>
  <si>
    <t>Cabo de cobre multipolar, classe 5, isolação em EPR, 0,6/1 kV, 3x2,5mm² resistente a chama, livre de halogênios</t>
  </si>
  <si>
    <t>SF-00282</t>
  </si>
  <si>
    <t>Sinapi 91928 Adaptada</t>
  </si>
  <si>
    <t>Sinapi 91928</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</si>
  <si>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</si>
  <si>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</si>
  <si>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</si>
  <si>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</si>
  <si>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</si>
  <si>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</si>
  <si>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Sinapi 74131/6 Adaptada</t>
  </si>
  <si>
    <t>Quadro elétrico tipo TTA completo com 30 disjuntores terminais, contemplando disjuntores, dispositovos de proteção contra surto (DPS), módulo diferencial residual (DR), borneiras, barramentos e outros itens necessários, conforme especificação</t>
  </si>
  <si>
    <t>Sinapi 74131/6</t>
  </si>
  <si>
    <t>SF-00293</t>
  </si>
  <si>
    <t>MONTADOR ELETROMECÃNICO COM ENCARGOS COMPLEMENTARES</t>
  </si>
  <si>
    <t>SF-00294</t>
  </si>
  <si>
    <t>SF-00295</t>
  </si>
  <si>
    <t>Orse 11148 Adaptada</t>
  </si>
  <si>
    <t>Orse 11148</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</si>
  <si>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</si>
  <si>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</si>
  <si>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</si>
  <si>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</si>
  <si>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Pini 19.104.000012.SER Adaptada</t>
  </si>
  <si>
    <t>Chapa de aco galvanizada bitola GSG 22, E = 0,80 mm (6,40 kg/m2)</t>
  </si>
  <si>
    <t>Pini 19.104.000012.SER</t>
  </si>
  <si>
    <t>Sinapi 11049</t>
  </si>
  <si>
    <t>Suportes e acessórios de fixação de dutos em chapa de aço #22</t>
  </si>
  <si>
    <t>cj</t>
  </si>
  <si>
    <t>Pini 19.104.000012.MAT</t>
  </si>
  <si>
    <t>SF-00298</t>
  </si>
  <si>
    <t>Pini 19.104.000080.SER Adaptada</t>
  </si>
  <si>
    <t>Pini 19.104.000080.SER</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</si>
  <si>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</si>
  <si>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</si>
  <si>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</si>
  <si>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</si>
  <si>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Pini 19.104.000200.SER Adaptada</t>
  </si>
  <si>
    <t>Pini 19.104.000200.SER</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</si>
  <si>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</si>
  <si>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</si>
  <si>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</si>
  <si>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</si>
  <si>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</si>
  <si>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</si>
  <si>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</si>
  <si>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</si>
  <si>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</si>
  <si>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</si>
  <si>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</si>
  <si>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</si>
  <si>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</si>
  <si>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</si>
  <si>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</si>
  <si>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</si>
  <si>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Pini 19.104.000906.SER Adaptada</t>
  </si>
  <si>
    <t>Pini 19.104.000906.SER</t>
  </si>
  <si>
    <t>Grelha para retorno de ar com lâminas fixas e registro, 40 x 20 cm</t>
  </si>
  <si>
    <t>Pini 19.104.000905.MAT</t>
  </si>
  <si>
    <t>SF-00309</t>
  </si>
  <si>
    <t>Grelha para retorno de ar com lâminas fixas e registro, 50 x 30 cm</t>
  </si>
  <si>
    <t>Pini 19.104.000907.MAT</t>
  </si>
  <si>
    <t>SF-00310</t>
  </si>
  <si>
    <t>SF-00311</t>
  </si>
  <si>
    <t>SF-00312</t>
  </si>
  <si>
    <t>Marceneiro com encargos complementares</t>
  </si>
  <si>
    <t>Sinapi 88273</t>
  </si>
  <si>
    <t>SF-00313</t>
  </si>
  <si>
    <t>CPOS 43.20.140 Adaptada</t>
  </si>
  <si>
    <t>CPOS 43.20.140</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</si>
  <si>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</si>
  <si>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</si>
  <si>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</si>
  <si>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</si>
  <si>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</si>
  <si>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</si>
  <si>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</si>
  <si>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</si>
  <si>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SBC 112411 Adaptada</t>
  </si>
  <si>
    <t>Serralheiro com encargos complementares</t>
  </si>
  <si>
    <t>SBC 112411</t>
  </si>
  <si>
    <t>Sinapi 88315</t>
  </si>
  <si>
    <t>Auxiliar de serralheiro com encargos complementares</t>
  </si>
  <si>
    <t>Sinapi 88251</t>
  </si>
  <si>
    <t>Suporte para unidade condensadora de aparelho split ou fancolete</t>
  </si>
  <si>
    <t>SF-00318</t>
  </si>
  <si>
    <t>Suporte para unidade evaporadora de aparelho split ou fancolete</t>
  </si>
  <si>
    <t>SF-00319</t>
  </si>
  <si>
    <t>Sinapi 95250 Adaptada</t>
  </si>
  <si>
    <t>Sinapi 95250</t>
  </si>
  <si>
    <t>Filtro em Y 1" (DN 25 mm), fabricado em bronze, extremidade com roscas, filtro em aço inoxidável, classe de pressão PN20 ou superior. Ref.: Deca 000.085.100.03</t>
  </si>
  <si>
    <t>Sinapi 95249</t>
  </si>
  <si>
    <t>SF-00320</t>
  </si>
  <si>
    <t>Sinapi 95249 Adaptada</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</si>
  <si>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</si>
  <si>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</si>
  <si>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</si>
  <si>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</si>
  <si>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</si>
  <si>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</si>
  <si>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</si>
  <si>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Sinapi 95252</t>
  </si>
  <si>
    <t>VALVULA DE ESFERA BRUTA EM BRONZE, BITOLA 1 1/2 " (REF 1552-B)</t>
  </si>
  <si>
    <t>Sinapi 11751</t>
  </si>
  <si>
    <t>SF-00324</t>
  </si>
  <si>
    <t>Sinapi 95251</t>
  </si>
  <si>
    <t>VALVULA DE ESFERA BRUTA EM BRONZE, BITOLA 1 1/4 " (REF 1552-B)</t>
  </si>
  <si>
    <t>Sinapi 11750</t>
  </si>
  <si>
    <t>SF-00325</t>
  </si>
  <si>
    <t>Valvula de esfera bruta em bronze, bitola 1 " (ref 1552-B)</t>
  </si>
  <si>
    <t>Sinapi 11746</t>
  </si>
  <si>
    <t>SF-00326</t>
  </si>
  <si>
    <t>Valvula de esfera bruta em bronze, bitola 3/4 " (ref 1552-B)</t>
  </si>
  <si>
    <t>Sinapi 11749</t>
  </si>
  <si>
    <t>SF-00327</t>
  </si>
  <si>
    <t>Isolamento elastomérico em formato prancha autoadesiva de espessura M. Ref.: AF/Armaflex M-99/E-A, K-Flex ST</t>
  </si>
  <si>
    <t>SF-00328</t>
  </si>
  <si>
    <t>Sinapi 97330 Adaptada</t>
  </si>
  <si>
    <t>Isolamento elastomérico em formato de tubo ou coquilha de espessura M, próprio para tubulação de cobre de diâmetro nominal 1 1/8" e para tubulações de ferro de diâmetro nominal 3/4". Ref.: AF/Armaflex M-28, K-Flex ST</t>
  </si>
  <si>
    <t>Sinapi 97330</t>
  </si>
  <si>
    <t>Obs.: As seguintes proporções foram consideradas quanto ao tempo de mão de obra: 70% para instalação do tubo e 30% para instalação do isolamento térmico.</t>
  </si>
  <si>
    <t>SF-00329</t>
  </si>
  <si>
    <t>Sinapi 97329 Adaptada</t>
  </si>
  <si>
    <t>Isolamento elastomérico em formato de tubo ou coquilha de espessura M, próprio para tubulação de cobre de diâmetro nominal 1/2". Ref.: AF/Armaflex M-12, K-Flex ST</t>
  </si>
  <si>
    <t>Sinapi 97329</t>
  </si>
  <si>
    <t>SF-00330</t>
  </si>
  <si>
    <t>Sinapi 97327 Adaptada</t>
  </si>
  <si>
    <t>Isolamento elastomérico em formato de tubo ou coquilha de espessura M, próprio para tubulação de cobre de diâmetro nominal 1/4". Ref.: AF/Armaflex M-06, K-Flex ST</t>
  </si>
  <si>
    <t>Sinapi 97327</t>
  </si>
  <si>
    <t>SF-00331</t>
  </si>
  <si>
    <t>Isolamento elastomérico em formato de tubo ou coquilha de espessura M, próprio para tubulação de cobre de diâmetro nominal 3/4". Ref.: AF/Armaflex M-18, K-Flex ST</t>
  </si>
  <si>
    <t>SF-00332</t>
  </si>
  <si>
    <t>Sinapi 97328 Adaptada</t>
  </si>
  <si>
    <t>Isolamento elastomérico em formato de tubo ou coquilha de espessura M, próprio para tubulação de cobre de diâmetro nominal 3/8". Ref.: AF/Armaflex M-10, K-Flex ST</t>
  </si>
  <si>
    <t>Sinapi 97328</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</si>
  <si>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</si>
  <si>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</si>
  <si>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</si>
  <si>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</si>
  <si>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</si>
  <si>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</si>
  <si>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</si>
  <si>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</si>
  <si>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</si>
  <si>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</si>
  <si>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</si>
  <si>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</si>
  <si>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</si>
  <si>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</si>
  <si>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</si>
  <si>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Sinapi 92653 Adaptada</t>
  </si>
  <si>
    <t>Sinapi 92653</t>
  </si>
  <si>
    <t>TUBO ACO CARBONO SEM COSTURA 1 1/2", E= *3,68 MM, SCHEDULE 40, 4,05 KG/M</t>
  </si>
  <si>
    <t>Sinapi 40624</t>
  </si>
  <si>
    <t>SF-00341</t>
  </si>
  <si>
    <t>Sinapi 92652 Adaptada</t>
  </si>
  <si>
    <t>Sinapi 92652</t>
  </si>
  <si>
    <t>Tubo de aço galvanizado sem costura schedule 40 Ø 1 1/4"</t>
  </si>
  <si>
    <t>SF-00342</t>
  </si>
  <si>
    <t>Sinapi 92688 Adaptada</t>
  </si>
  <si>
    <t>Sinapi 92688</t>
  </si>
  <si>
    <t>Tubo de aço galvanizado sem costura schedule 40 Ø 1"</t>
  </si>
  <si>
    <t>SF-00343</t>
  </si>
  <si>
    <t>TUBO ACO CARBONO SEM COSTURA 3/4", E= *2,87 MM, SCHEDULE 40, *1,69 KG/M</t>
  </si>
  <si>
    <t>Sinapi 21150</t>
  </si>
  <si>
    <t>SF-00344</t>
  </si>
  <si>
    <t>Tubo de cobre flexivel, D = 1/2 ", E = 0,79 mm, para ar-condicionado/ instalacoes gas residenciais e comerciais</t>
  </si>
  <si>
    <t>Sinapi 39660</t>
  </si>
  <si>
    <t>SF-00345</t>
  </si>
  <si>
    <t>Tubo de cobre flexivel, D = 1/4 ", E = 0,79 mm, para ar-condicionado/ instalacoes gas residenciais e comerciais</t>
  </si>
  <si>
    <t>Sinapi 39662</t>
  </si>
  <si>
    <t>SF-00346</t>
  </si>
  <si>
    <t>Tubo de cobre flexivel, D = 3/4 ", E = 0,79 mm, para ar-condicionado/ instalacoes gas residenciais e comerciais</t>
  </si>
  <si>
    <t>Sinapi 39666</t>
  </si>
  <si>
    <t>SF-00347</t>
  </si>
  <si>
    <t>Tubo de cobre flexivel, D = 3/8 ", E = 0,79 mm, para ar-condicionado/ instalacoes gas residenciais e comerciais</t>
  </si>
  <si>
    <t>Sinapi 39664</t>
  </si>
  <si>
    <t>SF-00348</t>
  </si>
  <si>
    <t>Tubo de cobre flexivel, D = 5/8 ", E = 0,79 mm, para ar-condicionado/ instalacoes gas residenciais e comerciais</t>
  </si>
  <si>
    <t>Sinapi 39665</t>
  </si>
  <si>
    <t>SF-00349</t>
  </si>
  <si>
    <t>Tubo de cobre flexivel, D = 7/8 ", E = 0,79 mm, para ar-condicionado/ instalacoes gas residenciais e comerciais</t>
  </si>
  <si>
    <t>Pini 19.105.001505.MAT</t>
  </si>
  <si>
    <t>SF-00350</t>
  </si>
  <si>
    <t>Tubo de cobre flexivel, D = 1 ", E = 0,79 mm, para ar-condicionado/ instalacoes gas residenciais e comerciais</t>
  </si>
  <si>
    <t>Pini 19.105.001505.MAT Adaptado</t>
  </si>
  <si>
    <t>SF-00351</t>
  </si>
  <si>
    <t>Tubo de cobre flexivel, D = 1 1/8 ", E = 0,79 mm, para ar-condicionado/ instalacoes gas residenciais e comerciais</t>
  </si>
  <si>
    <t>Pini 19.105.001506.MAT</t>
  </si>
  <si>
    <t>SF-00354</t>
  </si>
  <si>
    <t>SEINFRA C0222 Adaptada</t>
  </si>
  <si>
    <t>SEINFRA C0222</t>
  </si>
  <si>
    <t>SF-00355</t>
  </si>
  <si>
    <t>Suporte mao-francesa em aco, abas iguais 40 cm, capacidade minima 70 kg, branco</t>
  </si>
  <si>
    <t>Sinapi 37591</t>
  </si>
  <si>
    <t>Chapa de MDF branco liso 2 faces, e = 25 mm, de *2,75 x 1,85* m</t>
  </si>
  <si>
    <t>Sinapi 34666</t>
  </si>
  <si>
    <t>SF-00356</t>
  </si>
  <si>
    <t>Painel de TV de 120 x 180 cm, fabricado em MDP. Ref.: Urbe Móveis Plus</t>
  </si>
  <si>
    <t>SF-00357</t>
  </si>
  <si>
    <t>Painel de TV de 160 x 160 cm, fabricado em MDP. Ref.: HB Móveis Life Canyon, HB Móveis Livin</t>
  </si>
  <si>
    <t>SF-00358</t>
  </si>
  <si>
    <t>Painel de TV de 90 x 120 cm, fabricado em MDP. Ref.: Germai Ipanema 90 x 120 x 26,5</t>
  </si>
  <si>
    <t>SF-00359</t>
  </si>
  <si>
    <t>Sinapi 90806 Adaptada</t>
  </si>
  <si>
    <t>Sinapi 90806</t>
  </si>
  <si>
    <t>Tinta asfaltica impermeabilizante dispersa em agua, para materiais cimenticios</t>
  </si>
  <si>
    <t>Sinapi 7319</t>
  </si>
  <si>
    <t>BATENTE PARA PORTA DE MADEIRA, PADRÃO MÉDIO - FORNECIMENTO E MONTAGEM. AF_12/2019</t>
  </si>
  <si>
    <t>Sinapi 90801</t>
  </si>
  <si>
    <t>SF-00360</t>
  </si>
  <si>
    <t>Seinfra C4621 Adaptada</t>
  </si>
  <si>
    <t>Chapa de proteção em aço inox AISI 304, largura conforme projeto, 400 mm de altura, chapa com espessura de 1 mm, acabamento escovado fosco</t>
  </si>
  <si>
    <t>SF-00361</t>
  </si>
  <si>
    <t>Sinapi 91009 Adaptada</t>
  </si>
  <si>
    <t>DOBRADICA EM LATAO, 3 " X 2 1/2 ", E= 1,9 A 2 MM, COM ANEL, CROMADO, TAMPA BOLA, COM PARAFUSOS</t>
  </si>
  <si>
    <t>Sinapi 91009</t>
  </si>
  <si>
    <t>Sinapi 11447</t>
  </si>
  <si>
    <t>PORTA DE MADEIRA, FOLHA MEDIA (NBR 15930) DE 60 X 210 CM, E = 35 MM, NUCLEO SARRAFEADO, CAPA LISA EM HDF, ACABAMENTO LAMINADO NATURAL PARA VERNIZ</t>
  </si>
  <si>
    <t>Sinapi 5020</t>
  </si>
  <si>
    <t>PARAFUSO ROSCA SOBERBA ZINCADO CABECA CHATA FENDA SIMPLES 3,5 X 25 MM (1 ")</t>
  </si>
  <si>
    <t>Sinapi 11055</t>
  </si>
  <si>
    <t>CARPINTEIRO DE ESQUADRIA COM ENCARGOS COMPLEMENTARES</t>
  </si>
  <si>
    <t>H</t>
  </si>
  <si>
    <t>SERVENTE COM ENCARGOS COMPLEMENTARES</t>
  </si>
  <si>
    <t>SF-00362</t>
  </si>
  <si>
    <t>Sinapi 91010 Adaptada</t>
  </si>
  <si>
    <t>PORTA DE MADEIRA, FOLHA MEDIA (NBR 15930) DE 70 X 210 CM, E = 35 MM, NUCLEO SARRAFEADO, CAPA LISA EM HDF, ACABAMENTO EM LAMINADO NATURAL PARA VERNIZ</t>
  </si>
  <si>
    <t>Sinapi 91010</t>
  </si>
  <si>
    <t>Sinapi 4981</t>
  </si>
  <si>
    <t>SF-00363</t>
  </si>
  <si>
    <t>Sinapi 91011 Adaptada</t>
  </si>
  <si>
    <t>PORTA DE MADEIRA, FOLHA MEDIA (NBR 15930) DE 80 X 210 CM, E = 35 MM, NUCLEO SARRAFEADO, CAPA LISA EM HDF, ACABAMENTO EM LAMINADO NATURAL PARA VERNIZ</t>
  </si>
  <si>
    <t>Sinapi 91011</t>
  </si>
  <si>
    <t>Sinapi 4992</t>
  </si>
  <si>
    <t>SF-00364</t>
  </si>
  <si>
    <t>Sinapi 91012 Adaptada</t>
  </si>
  <si>
    <t>PORTA DE MADEIRA, FOLHA MEDIA (NBR 15930) DE 90 X 210 CM, E = 35 MM, NUCLEO SARRAFEADO, CAPA LISA EM HDF, ACABAMENTO EM LAMINADO NATURAL PARA VERNIZ</t>
  </si>
  <si>
    <t>Sinapi 91012</t>
  </si>
  <si>
    <t>Sinapi 4987</t>
  </si>
  <si>
    <t>SF-00365</t>
  </si>
  <si>
    <t>PORTA DE MADEIRA, FOLHA MEDIA (NBR 15930) DE 100 X 210 CM, E = 35 MM, NUCLEO SARRAFEADO, CAPA LISA EM HDF, ACABAMENTO EM LAMINADO NATURAL PARA VERNIZ</t>
  </si>
  <si>
    <t>Sinapi 4989</t>
  </si>
  <si>
    <t>SF-00366</t>
  </si>
  <si>
    <t>SF-00367</t>
  </si>
  <si>
    <t>Sinapi 100697</t>
  </si>
  <si>
    <t>PEDREIRO COM ENCARGOS COMPLEMENTARES</t>
  </si>
  <si>
    <t>SF-00368</t>
  </si>
  <si>
    <t>Sinapi 100709 Adaptada</t>
  </si>
  <si>
    <t>Sinapi 100709</t>
  </si>
  <si>
    <t>SF-00369</t>
  </si>
  <si>
    <t>Sinapi 90831 Adaptada</t>
  </si>
  <si>
    <t>Fechadura para porta de banheiro, com maçaneta em formato de barra, confeccionada em aço com acabamento inox polido. Ref.: MZ 270 WC Standard – Linha Standard – Papaiz</t>
  </si>
  <si>
    <t>Sinapi 90830 Adaptada</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</si>
  <si>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</si>
  <si>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</si>
  <si>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</si>
  <si>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</si>
  <si>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Sinapi 90830</t>
  </si>
  <si>
    <t>SF-00372</t>
  </si>
  <si>
    <t>SF-00373</t>
  </si>
  <si>
    <t>Orse 01778 Adaptada</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</si>
  <si>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</si>
  <si>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</si>
  <si>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</si>
  <si>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</si>
  <si>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Sinapi 98295 Adaptada</t>
  </si>
  <si>
    <t>Sinapi 98295</t>
  </si>
  <si>
    <t>Cabo de dados tipo UTP, tipo LSZH, categoria 6. Ref.: AMP 1989106-6, Furukawa 23400196</t>
  </si>
  <si>
    <t>SF-00376</t>
  </si>
  <si>
    <t>Sinapi 98307 Adaptada</t>
  </si>
  <si>
    <t>Tampa p/ conector /RJ45. ref.: Schneider Electric PRM47761 (Padrão Keystone), Schneider Electric PRM47771 (Padrão AMP)</t>
  </si>
  <si>
    <t>Módulo RJ 45 - CAT 6. Ref.: AMP 1375055-2, Furukawa 35030621</t>
  </si>
  <si>
    <t>Certificação de ponto de rede</t>
  </si>
  <si>
    <t>SF-00377</t>
  </si>
  <si>
    <t>Sinapi 98302 Adaptada</t>
  </si>
  <si>
    <t>Sinapi 98302</t>
  </si>
  <si>
    <t>Painel de distribuição (patch panel) de 24 portas, categoria 6. Ref.: AMP 1375014-2</t>
  </si>
  <si>
    <t>SF-00378</t>
  </si>
  <si>
    <t>Sinapi 98262</t>
  </si>
  <si>
    <t>CABO TELEFONICO CCI 50, 2 PARES, USO INTERNO, SEM BLINDAGEM</t>
  </si>
  <si>
    <t>Sinapi 98262 Adaptada</t>
  </si>
  <si>
    <t>Sinapi 11902</t>
  </si>
  <si>
    <t>SF-00379</t>
  </si>
  <si>
    <t>Tampa p/ conector /RJ45. ref.: Schneider Electric PRM47761 (padrão Keystone), Schneider Electric PRM47771 (padrão AMP)</t>
  </si>
  <si>
    <t>Tomada RJ45, 8 fios, CAT 5E (apenas modulo)</t>
  </si>
  <si>
    <t>Sinapi 38104</t>
  </si>
  <si>
    <t>Sinapi 98307</t>
  </si>
  <si>
    <t>SF-00380</t>
  </si>
  <si>
    <t>Pini 19.104.000804.SER Adaptada</t>
  </si>
  <si>
    <t>Pini 19.104.000804.SER</t>
  </si>
  <si>
    <t>Grelha para retorno para portas, divisórias e paredes 525x325 mm, Ref. Trox AGS-T</t>
  </si>
  <si>
    <t>SF-00408</t>
  </si>
  <si>
    <t>Sinapi 3080</t>
  </si>
  <si>
    <t>FECHADURA DE EMBUTIR PARA PORTA EXTERNA / ENTRADA, MAQUINA 40 MM, COM CILINDRO, MACANETA ALAVANCA E ESPELHO EM METAL CROMADO - NIVEL SEGURANCA MEDIO - COMPLETA</t>
  </si>
  <si>
    <t>CJ</t>
  </si>
  <si>
    <t>SF-00467</t>
  </si>
  <si>
    <t>Sinapi 38124</t>
  </si>
  <si>
    <t>ESPUMA EXPANSIVA DE POLIURETANO, APLICACAO MANUAL - 500 ML</t>
  </si>
  <si>
    <t>SF-00563</t>
  </si>
  <si>
    <t>ARGAMASSA PRONTA PARA CONTRAPISO</t>
  </si>
  <si>
    <t>Sinapi 36886</t>
  </si>
  <si>
    <t>SF-00564</t>
  </si>
  <si>
    <t>ARGAMASSA INDUSTRIALIZADA MULTIUSO, PARA REVESTIMENTO INTERNO E EXTERNO E ASSENTAMENTO DE BLOCOS DIVERSOS</t>
  </si>
  <si>
    <t>SF-00565</t>
  </si>
  <si>
    <t>CIMENTO PORTLAND COMPOSTO CP II-32</t>
  </si>
  <si>
    <t>SF-00566</t>
  </si>
  <si>
    <t>ARGAMASSA COLANTE TIPO ACIII</t>
  </si>
  <si>
    <t>SF-00567</t>
  </si>
  <si>
    <t>GESSO EM PO PARA REVESTIMENTOS/MOLDURAS/SANCAS</t>
  </si>
  <si>
    <t>Sinapi 3315</t>
  </si>
  <si>
    <t>SF-00568</t>
  </si>
  <si>
    <t>AREIA MEDIA - POSTO JAZIDA/FORNECEDOR (RETIRADO NA JAZIDA, SEM TRANSPORTE)</t>
  </si>
  <si>
    <t>TRANSPORTE COM CAMINHÃO BASCULANTE DE 6 M3, EM VIA URBANA PAVIMENTADA, DMT ATÉ 30 KM (UNIDADE: TxKM). AF_01/2018</t>
  </si>
  <si>
    <t>TxKM</t>
  </si>
  <si>
    <t>Sinapi 97918</t>
  </si>
  <si>
    <t>Obs.: Considerando fornecedor de areia a 20 km do Senado Federal.</t>
  </si>
  <si>
    <t>SF-00569</t>
  </si>
  <si>
    <t>PEDRA BRITADA N. 0, OU PEDRISCO (4,8 A 9,5 MM) POSTO PEDREIRA/FORNECEDOR, SEM FRETE</t>
  </si>
  <si>
    <t>Sinapi 4720</t>
  </si>
  <si>
    <t>Obs.: Considerando fornecedor de brita a 20 km do Senado Federal.</t>
  </si>
  <si>
    <t>SF-00570</t>
  </si>
  <si>
    <t>PEDRA BRITADA N. 1 (9,5 a 19 MM) POSTO PEDREIRA/FORNECEDOR, SEM FRETE</t>
  </si>
  <si>
    <t>SF-00571</t>
  </si>
  <si>
    <t>BLOCO CERAMICO (ALVENARIA DE VEDACAO), DE 9 X 19 X 19 CM</t>
  </si>
  <si>
    <t>SF-00572</t>
  </si>
  <si>
    <t>TIJOLO CERAMICO MACICO *5 X 10 X 20* CM</t>
  </si>
  <si>
    <t>SF-00573</t>
  </si>
  <si>
    <t>BLOCO CONCRETO ESTRUTURAL 9 X 19 X 39 CM, FBK 4,5 MPA (NBR 6136)</t>
  </si>
  <si>
    <t>Sinapi 25071</t>
  </si>
  <si>
    <t>SF-00574</t>
  </si>
  <si>
    <t>SF-00575</t>
  </si>
  <si>
    <t>SF-00576</t>
  </si>
  <si>
    <t>ACO CA-50, 6,3 MM, VERGALHAO</t>
  </si>
  <si>
    <t>Sinapi 32</t>
  </si>
  <si>
    <t>SF-00577</t>
  </si>
  <si>
    <t>ACO CA-50, 8,0 MM, VERGALHAO</t>
  </si>
  <si>
    <t>Sinapi 33</t>
  </si>
  <si>
    <t>SF-00578</t>
  </si>
  <si>
    <t>ACO CA-50, 10,0 MM, VERGALHAO</t>
  </si>
  <si>
    <t>SF-00579</t>
  </si>
  <si>
    <t>ACO CA-50, 12,5 MM OU 16,0 MM, VERGALHAO</t>
  </si>
  <si>
    <t>Sinapi 43055</t>
  </si>
  <si>
    <t>SF-00580</t>
  </si>
  <si>
    <t>SF-00581</t>
  </si>
  <si>
    <t>ADESIVO ESTRUTURAL A BASE DE RESINA EPOXI, BICOMPONENTE, PASTOSO (TIXOTROPICO)</t>
  </si>
  <si>
    <t>Sinapi 131</t>
  </si>
  <si>
    <t>SF-00588</t>
  </si>
  <si>
    <t>Sinapi 123</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</si>
  <si>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</si>
  <si>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</si>
  <si>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</si>
  <si>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</si>
  <si>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</si>
  <si>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</si>
  <si>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Sinapi 90766</t>
  </si>
  <si>
    <t>SF-00710</t>
  </si>
  <si>
    <t>SF-00711</t>
  </si>
  <si>
    <t>AJUDANTE DE CARPINTEIRO COM ENCARGOS COMPLEMENTARES</t>
  </si>
  <si>
    <t>SF-00712</t>
  </si>
  <si>
    <t>AUXILIAR DE SERRALHEIRO COM ENCARGOS COMPLEMENTARES</t>
  </si>
  <si>
    <t>SF-00713</t>
  </si>
  <si>
    <t>SF-00714</t>
  </si>
  <si>
    <t>SF-00715</t>
  </si>
  <si>
    <t>SF-00716</t>
  </si>
  <si>
    <t>SF-00717</t>
  </si>
  <si>
    <t>SF-00844</t>
  </si>
  <si>
    <t>Sinapi 84959 Adaptada</t>
  </si>
  <si>
    <t>Kg</t>
  </si>
  <si>
    <t>SF-00845</t>
  </si>
  <si>
    <t>Sinapi 84957</t>
  </si>
  <si>
    <t>VIDRO LISO INCOLOR 5MM - SEM COLOCACAO</t>
  </si>
  <si>
    <t>Sinapi 10493</t>
  </si>
  <si>
    <t>SF-00846</t>
  </si>
  <si>
    <t>Sinapi 72119</t>
  </si>
  <si>
    <t>VIDRO TEMPERADO INCOLOR E = 8 MM, SEM COLOCACAO</t>
  </si>
  <si>
    <t>Sinapi 10506</t>
  </si>
  <si>
    <t>SF-00849</t>
  </si>
  <si>
    <t>Sinapi 72120</t>
  </si>
  <si>
    <t>VIDRO TEMPERADO INCOLOR E = 10 MM, SEM COLOCACAO</t>
  </si>
  <si>
    <t>Sinapi 10507</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</si>
  <si>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</si>
  <si>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</si>
  <si>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</si>
  <si>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</si>
  <si>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</si>
  <si>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</si>
  <si>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</si>
  <si>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</si>
  <si>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</si>
  <si>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</si>
  <si>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</si>
  <si>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</si>
  <si>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</si>
  <si>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</si>
  <si>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</si>
  <si>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</si>
  <si>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</si>
  <si>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</si>
  <si>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</si>
  <si>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</si>
  <si>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</si>
  <si>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</si>
  <si>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</si>
  <si>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</si>
  <si>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</si>
  <si>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</si>
  <si>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Sinapi 84886 + Sinapi 85421 Adaptada</t>
  </si>
  <si>
    <t>Sinapi 85421 Adaptada</t>
  </si>
  <si>
    <t>Obs: considerando remoção de uma folha de 2,10 m x 0,80 m.</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</si>
  <si>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</si>
  <si>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</si>
  <si>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</si>
  <si>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</si>
  <si>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</si>
  <si>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</si>
  <si>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</si>
  <si>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</si>
  <si>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Sinapi 34360</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</si>
  <si>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</si>
  <si>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</si>
  <si>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</si>
  <si>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</si>
  <si>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</si>
  <si>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</si>
  <si>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</si>
  <si>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</si>
  <si>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</si>
  <si>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</si>
  <si>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</si>
  <si>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</si>
  <si>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</si>
  <si>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</si>
  <si>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</si>
  <si>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</si>
  <si>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</si>
  <si>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</si>
  <si>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</si>
  <si>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</si>
  <si>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</si>
  <si>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</si>
  <si>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</si>
  <si>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</si>
  <si>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</si>
  <si>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</si>
  <si>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</si>
  <si>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</si>
  <si>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</si>
  <si>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</si>
  <si>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</si>
  <si>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Sinapi 72119 Adaptada</t>
  </si>
  <si>
    <t>Vidro laminado incolor de 8mm de espessura</t>
  </si>
  <si>
    <t>Pini 27.104.000130.SER</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</si>
  <si>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</si>
  <si>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</si>
  <si>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</si>
  <si>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</si>
  <si>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</si>
  <si>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</si>
  <si>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</si>
  <si>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</si>
  <si>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</si>
  <si>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</si>
  <si>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</si>
  <si>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</si>
  <si>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</si>
  <si>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</si>
  <si>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</si>
  <si>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</si>
  <si>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</si>
  <si>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</si>
  <si>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</si>
  <si>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</si>
  <si>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</si>
  <si>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</si>
  <si>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</si>
  <si>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</si>
  <si>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</si>
  <si>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</si>
  <si>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</si>
  <si>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Sinapi 72120 Adaptada</t>
  </si>
  <si>
    <t>Vidro fumê/bronze temperado 10mm</t>
  </si>
  <si>
    <t>SF-00897</t>
  </si>
  <si>
    <t>Puxador para porta de vidro temperado em aço inox, sob medida, tipo B</t>
  </si>
  <si>
    <t>SF-00898</t>
  </si>
  <si>
    <t>Sinapi 92777</t>
  </si>
  <si>
    <t>KG</t>
  </si>
  <si>
    <t>ESPACADOR / DISTANCIADOR CIRCULAR COM ENTRADA LATERAL, EM PLASTICO, PARA VERGALHAO *4,2 A 12,5* MM, COBRIMENTO 20 MM</t>
  </si>
  <si>
    <t>Sinapi 39017</t>
  </si>
  <si>
    <t>AJUDANTE DE ARMADOR COM ENCARGOS COMPLEMENTARES</t>
  </si>
  <si>
    <t>Sinapi 88238</t>
  </si>
  <si>
    <t>ARMADOR COM ENCARGOS COMPLEMENTARES</t>
  </si>
  <si>
    <t>Sinapi 88245</t>
  </si>
  <si>
    <t>CORTE E DOBRA DE AÇO CA-50, DIÂMETRO DE 8,0 MM, UTILIZADO EM ESTRUTURAS DIVERSAS, EXCETO LAJES. AF_12/2015</t>
  </si>
  <si>
    <t>Sinapi 92793</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</si>
  <si>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</si>
  <si>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</si>
  <si>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</si>
  <si>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</si>
  <si>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</si>
  <si>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</si>
  <si>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</si>
  <si>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</si>
  <si>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</si>
  <si>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</si>
  <si>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</si>
  <si>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</si>
  <si>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</si>
  <si>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</si>
  <si>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</si>
  <si>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</si>
  <si>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</si>
  <si>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</si>
  <si>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</si>
  <si>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Sinapi 100271</t>
  </si>
  <si>
    <t>SF-00909</t>
  </si>
  <si>
    <t>Sinapi 72122</t>
  </si>
  <si>
    <t>VIDRO MARTELADO OU CANELADO, 4 MM - SEM COLOCACAO</t>
  </si>
  <si>
    <t>Sinapi 10499</t>
  </si>
  <si>
    <t>SF-00910</t>
  </si>
  <si>
    <t>Sinapi 84957 Adaptada</t>
  </si>
  <si>
    <t>VIDRO LISO FUME, E = 5 MM - SEM COLOCACAO</t>
  </si>
  <si>
    <t>Sinapi 21107</t>
  </si>
  <si>
    <t>SF-00911</t>
  </si>
  <si>
    <t>SF-00912</t>
  </si>
  <si>
    <t>PARAFUSO FRANCES M16 EM ACO GALVANIZADO, COMPRIMENTO = 45 MM, DIAMETRO = 16 MM, CABECA ABAULADA</t>
  </si>
  <si>
    <t>SF-00913</t>
  </si>
  <si>
    <t>Espelho fumê/bronze 4mm lapidado</t>
  </si>
  <si>
    <t>SF-00914</t>
  </si>
  <si>
    <t>SF-00915</t>
  </si>
  <si>
    <t>Sinapi 89994 Adaptada</t>
  </si>
  <si>
    <t>Sinapi 89994</t>
  </si>
  <si>
    <t>GRAUTE CIMENTICIO PARA USO GERAL</t>
  </si>
  <si>
    <t>Sinapi 134</t>
  </si>
  <si>
    <t>SF-00916</t>
  </si>
  <si>
    <t>Sinapi 92779</t>
  </si>
  <si>
    <t>CORTE E DOBRA DE AÇO CA-50, DIÂMETRO DE 12,5 MM, UTILIZADO EM ESTRUTURAS DIVERSAS, EXCETO LAJES. AF_12/2015</t>
  </si>
  <si>
    <t>Sinapi 92795</t>
  </si>
  <si>
    <t>SF-00917</t>
  </si>
  <si>
    <t>Sinapi 92781</t>
  </si>
  <si>
    <t>CORTE E DOBRA DE AÇO CA-50, DIÂMETRO DE 20,0 MM, UTILIZADO EM ESTRUTURAS DIVERSAS, EXCETO LAJES. AF_12/2015</t>
  </si>
  <si>
    <t>Sinapi 92797</t>
  </si>
  <si>
    <t>SF-00918</t>
  </si>
  <si>
    <t>SF-00919</t>
  </si>
  <si>
    <t>Sinapi 93358</t>
  </si>
  <si>
    <t>SF-00920</t>
  </si>
  <si>
    <t>Sinapi 93382</t>
  </si>
  <si>
    <t>COMPACTADOR DE SOLOS DE PERCUSSÃO (SOQUETE) COM MOTOR A GASOLINA 4 TEMPOS, POTÊNCIA 4 CV - CHP DIURNO. AF_08/2015</t>
  </si>
  <si>
    <t>CHP</t>
  </si>
  <si>
    <t>Sinapi 91533</t>
  </si>
  <si>
    <t>COMPACTADOR DE SOLOS DE PERCUSSÃO (SOQUETE) COM MOTOR A GASOLINA 4 TEMPOS, POTÊNCIA 4 CV - CHI DIURNO. AF_08/2015</t>
  </si>
  <si>
    <t>CHI</t>
  </si>
  <si>
    <t>Sinapi 91534</t>
  </si>
  <si>
    <t>UMIDIFICAÇÃO DE MATERIAL PARA VALAS COM CAMINHÃO PIPA 10000L. AF_11/2016</t>
  </si>
  <si>
    <t>Sinapi 95606</t>
  </si>
  <si>
    <t>SF-00921</t>
  </si>
  <si>
    <t>Sinapi 94319 Adaptada</t>
  </si>
  <si>
    <t>CAMINHÃO PIPA 10.000 L TRUCADO, PESO BRUTO TOTAL 23.000 KG, CARGA ÚTIL MÁXIMA 15.935 KG, DISTÂNCIA ENTRE EIXOS 4,8 M, POTÊNCIA 230 CV, INCLUSIVE TANQUE DE AÇO PARA TRANSPORTE DE ÁGUA - CHP DIURNO. AF_06/2014</t>
  </si>
  <si>
    <t>Sinapi 94319</t>
  </si>
  <si>
    <t>Sinapi 5901</t>
  </si>
  <si>
    <t>CAMINHÃO PIPA 10.000 L TRUCADO, PESO BRUTO TOTAL 23.000 KG, CARGA ÚTIL MÁXIMA 15.935 KG, DISTÂNCIA ENTRE EIXOS 4,8 M, POTÊNCIA 230 CV, INCLUSIVE TANQUE DE AÇO PARA TRANSPORTE DE ÁGUA - CHI DIURNO. AF_06/2014</t>
  </si>
  <si>
    <t>Sinapi 5903</t>
  </si>
  <si>
    <t>ARGILA, ARGILA VERMELHA OU ARGILA ARENOSA (RETIRADA NA JAZIDA, SEM TRANSPORTE)</t>
  </si>
  <si>
    <t>Sinapi 6079</t>
  </si>
  <si>
    <t>Obs.: Considerando fornecedor de argila a 20 km do Senado Federal.</t>
  </si>
  <si>
    <t>SF-00922</t>
  </si>
  <si>
    <t>Sinapi 92306</t>
  </si>
  <si>
    <t>TUBO DE COBRE CLASSE "E", DN = 22 MM, PARA INSTALACAO HIDRAULICA PREDIAL</t>
  </si>
  <si>
    <t>Sinapi 12743</t>
  </si>
  <si>
    <t>AUXILIAR DE ENCANADOR OU BOMBEIRO HIDRÁULICO COM ENCARGOS COMPLEMENTARES</t>
  </si>
  <si>
    <t>ENCANADOR OU BOMBEIRO HIDRÁULICO COM ENCARGOS COMPLEMENTARES</t>
  </si>
  <si>
    <t>SF-00923</t>
  </si>
  <si>
    <t>TUBO DE COBRE CLASSE "E", DN = 28 MM, PARA INSTALACAO HIDRAULICA PREDIAL</t>
  </si>
  <si>
    <t>Sinapi 92307</t>
  </si>
  <si>
    <t>Sinapi 12744</t>
  </si>
  <si>
    <t>SF-00924</t>
  </si>
  <si>
    <t>TUBO DE COBRE CLASSE "E", DN = 42 MM, PARA INSTALACAO HIDRAULICA PREDIAL</t>
  </si>
  <si>
    <t>Sinapi 92278</t>
  </si>
  <si>
    <t>Sinapi 12746</t>
  </si>
  <si>
    <t>SF-00925</t>
  </si>
  <si>
    <t>PARAFUSO NIQUELADO COM ACABAMENTO CROMADO PARA FIXAR PECA SANITARIA, INCLUI PORCA CEGA, ARRUELA E BUCHA DE NYLON TAMANHO S-10</t>
  </si>
  <si>
    <t>VEDACAO PVC, 100 MM, PARA SAIDA VASO SANITARIO</t>
  </si>
  <si>
    <t>BACIA SANITARIA (VASO) CONVENCIONAL PARA PCD SEM FURO FRONTAL, DE LOUCA BRANCA, SEM ASSENTO</t>
  </si>
  <si>
    <t>Sinapi 36520</t>
  </si>
  <si>
    <t>REJUNTE EPOXI BRANCO</t>
  </si>
  <si>
    <t>Sinapi 95472</t>
  </si>
  <si>
    <t>SF-00926</t>
  </si>
  <si>
    <t>Assento poliéster, mod.: Vogue plus, cor branca, com fixação cromada. AP.51 ref: DECA ou equivalente</t>
  </si>
  <si>
    <t>Servente Com Encargos Complementares</t>
  </si>
  <si>
    <t>SF-00927</t>
  </si>
  <si>
    <t>Sinapi 94497 Adaptada</t>
  </si>
  <si>
    <t>Registro gaveta em liga de cobre, bitola 1 1/2" mod:1502.B.112 ref: DECA ou equivalente</t>
  </si>
  <si>
    <t xml:space="preserve">Sinapi 94497 </t>
  </si>
  <si>
    <t>SF-00928</t>
  </si>
  <si>
    <t>Sinapi 92984 Adaptada</t>
  </si>
  <si>
    <t>Cabo flexível isolado em EPR não halogenado 25 mm² 0,6 a 1 kV</t>
  </si>
  <si>
    <t>Sinapi 92984</t>
  </si>
  <si>
    <t>Pini 16.119.000306.MAT</t>
  </si>
  <si>
    <t>SF-00929</t>
  </si>
  <si>
    <t>Sinapi 92986 Adaptada</t>
  </si>
  <si>
    <t>Cabo flexível isolado em EPR não halogenado 35 mm² 0,6 a 1 kV</t>
  </si>
  <si>
    <t>Sinapi 92986</t>
  </si>
  <si>
    <t>Pini 16.119.000307.MAT</t>
  </si>
  <si>
    <t>SF-00930</t>
  </si>
  <si>
    <t>Sinapi 92988 Adaptada</t>
  </si>
  <si>
    <t>Cabo flexível isolado em EPR não halogenado 50 mm² 0,6 a 1 kV</t>
  </si>
  <si>
    <t>Sinapi 92988</t>
  </si>
  <si>
    <t>Pini 16.119.000308.MAT</t>
  </si>
  <si>
    <t>SF-00931</t>
  </si>
  <si>
    <t>Sinapi 92990 Adaptada</t>
  </si>
  <si>
    <t>Cabo flexível isolado em EPR não halogenado 70 mm² 0,6 a 1 kV</t>
  </si>
  <si>
    <t>Sinapi 92990</t>
  </si>
  <si>
    <t>Pini 16.119.000309.MAT</t>
  </si>
  <si>
    <t>SF-00932</t>
  </si>
  <si>
    <t>Sinapi 92992 Adaptada</t>
  </si>
  <si>
    <t>Cabo flexível isolado em EPR não halogenado 95 mm² 0,6 a 1 kV</t>
  </si>
  <si>
    <t>Sinapi 92992</t>
  </si>
  <si>
    <t>Pini 16.119.000310.MAT</t>
  </si>
  <si>
    <t>SF-00933</t>
  </si>
  <si>
    <t>Sinapi 92994 Adaptada</t>
  </si>
  <si>
    <t>Cabo flexível isolado em EPR não halogenado 120 mm² 0,6 a 1 kV</t>
  </si>
  <si>
    <t>Sinapi 92994</t>
  </si>
  <si>
    <t>Pini 16.119.000311.MAT</t>
  </si>
  <si>
    <t>SF-00934</t>
  </si>
  <si>
    <t>Sinapi 92996 Adaptada</t>
  </si>
  <si>
    <t>Cabo flexível isolado em EPR não halogenado 150 mm² 0,6 a 1 kV</t>
  </si>
  <si>
    <t>Sinapi 92996</t>
  </si>
  <si>
    <t>Pini 16.119.000312.MAT</t>
  </si>
  <si>
    <t>SF-00935</t>
  </si>
  <si>
    <t>Sinapi 92998 Adaptada</t>
  </si>
  <si>
    <t>Cabo flexível isolado em EPR não halogenado 185 mm² 0,6 a 1 kV</t>
  </si>
  <si>
    <t>Sinapi 92998</t>
  </si>
  <si>
    <t>Pini 16.119.000313.MAT</t>
  </si>
  <si>
    <t>SF-00936</t>
  </si>
  <si>
    <t>Sinapi 93000 Adaptada</t>
  </si>
  <si>
    <t>Cabo flexível isolado em EPR não halogenado 240 mm² 0,6 a 1 kV</t>
  </si>
  <si>
    <t>Sinapi 93000</t>
  </si>
  <si>
    <t>Pini 16.119.000314.MAT</t>
  </si>
  <si>
    <t>SF-00937</t>
  </si>
  <si>
    <t>Sinapi 97063</t>
  </si>
  <si>
    <t>MONTADOR DE ESTRUTURA METÁLICA COM ENCARGOS COMPLEMENTARES</t>
  </si>
  <si>
    <t>TRANSPORTE HORIZONTAL MANUAL, DE TUBO DE AÇO CARBONO LEVE OU MÉDIO, PRETO OU GALVANIZADO, COM DIÂMETRO MAIOR QUE 32 MM E MENOR OU IGUAL A 65 MM (UNIDADE: MXKM). AF_07/2019</t>
  </si>
  <si>
    <t>MXKM</t>
  </si>
  <si>
    <t>Sinapi 100251</t>
  </si>
  <si>
    <t>SF-00938</t>
  </si>
  <si>
    <t>Sinapi 97064</t>
  </si>
  <si>
    <t>SF-00940</t>
  </si>
  <si>
    <t>Sinapi 97062 Adaptada</t>
  </si>
  <si>
    <t>ABRACADEIRA DE NYLON PARA AMARRACAO DE CABOS, COMPRIMENTO DE 200 X *4,6* MM</t>
  </si>
  <si>
    <t>Sinapi 97062</t>
  </si>
  <si>
    <t>Sinapi 411</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</si>
  <si>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</si>
  <si>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</si>
  <si>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</si>
  <si>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</si>
  <si>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</si>
  <si>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</si>
  <si>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Sinapi 94495 Adaptada</t>
  </si>
  <si>
    <t>Registro de gaveta em liga de cobre, bitola 1" mod: 4509.302 ref: DECA ou equivalente</t>
  </si>
  <si>
    <t>Sinapi 94495</t>
  </si>
  <si>
    <t>SF-00944</t>
  </si>
  <si>
    <t>Sinapi 89351 Adaptada</t>
  </si>
  <si>
    <t>Sinapi 89351</t>
  </si>
  <si>
    <t>Registro de pressão em liga de cobre, bitola 3/4" mod: 4416.202 ref: DECA ou equivalente</t>
  </si>
  <si>
    <t>SF-00946</t>
  </si>
  <si>
    <t>Sinapi 84796 Adaptada</t>
  </si>
  <si>
    <t>TAMPAO FOFO ARTICULADO P/ REGISTRO, CLASSE A15 CARGA MAXIMA 1,5 T, *400 X 400* MM</t>
  </si>
  <si>
    <t>Sinapi 84796</t>
  </si>
  <si>
    <t>Sinapi 11241</t>
  </si>
  <si>
    <t>ARGAMASSA TRAÇO 1:4 (EM VOLUME DE CIMENTO E AREIA GROSSA ÚMIDA) PARA CHAPISCO CONVENCIONAL, PREPARO MECÂNICO COM BETONEIRA 400 L. AF_08/2019</t>
  </si>
  <si>
    <t>Sinapi 87316 Adaptada</t>
  </si>
  <si>
    <t>SF-00947</t>
  </si>
  <si>
    <t>Arquiteto de obra pleno com encargos complementares</t>
  </si>
  <si>
    <t>Sinapi 90769</t>
  </si>
  <si>
    <t>SF-00948</t>
  </si>
  <si>
    <t>Sinapi 41805</t>
  </si>
  <si>
    <t>LOCACAO DE ANDAIME SUSPENSO OU BALANCIM MANUAL, CAPACIDADE DE CARGA TOTAL DE APROXIMADAMENTE 250 KG/M2, PLATAFORMA DE 1,50 M X 0,80 M (C X L), CABO DE 45 M</t>
  </si>
  <si>
    <t>SF-00950</t>
  </si>
  <si>
    <t>Sinapi 99814</t>
  </si>
  <si>
    <t>LAVADORA DE ALTA PRESSAO (LAVA-JATO) PARA AGUA FRIA, PRESSAO DE OPERACAO ENTRE 1400 E 1900 LIB/POL2, VAZAO MAXIMA ENTRE 400 E 700 L/H - CHP DIURNO. AF_04/2019</t>
  </si>
  <si>
    <t>Sinapi 99833</t>
  </si>
  <si>
    <t>SF-00951</t>
  </si>
  <si>
    <t>SF-00952</t>
  </si>
  <si>
    <t>SF-00953</t>
  </si>
  <si>
    <t>Sinapi 98557</t>
  </si>
  <si>
    <t>MANTA LIQUIDA DE BASE ASFALTICA MODIFICADA COM A ADICAO DE ELASTOMEROS DILUIDOS EM SOLVENTE ORGANICO, APLICACAO A FRIO (MEMBRANA IMPERMEABILIZANTE ASFASTICA)</t>
  </si>
  <si>
    <t>Sinapi 626</t>
  </si>
  <si>
    <t>Ajudante Especializado Com Encargos Complementares</t>
  </si>
  <si>
    <t>IMPERMEABILIZADOR COM ENCARGOS COMPLEMENTARES</t>
  </si>
  <si>
    <t>SF-00954</t>
  </si>
  <si>
    <t>Sinapi 98565</t>
  </si>
  <si>
    <t>CAMADA SEPARADORA DE FILME DE POLIETILENO 20 A 25 MICRA</t>
  </si>
  <si>
    <t>Sinapi 38365</t>
  </si>
  <si>
    <t>ARGAMASSA TRAÇO 1:3 (EM VOLUME DE CIMENTO E AREIA MÉDIA ÚMIDA) PARA CONTRAPISO, PREPARO MANUAL. AF_08/2019</t>
  </si>
  <si>
    <t>Sinapi 87372 Adaptada</t>
  </si>
  <si>
    <t>SF-00955</t>
  </si>
  <si>
    <t>Sinapi 98566</t>
  </si>
  <si>
    <t>TELA DE ARAME GALVANIZADA, HEXAGONAL, FIO 0,56 MM (24 BWG), MALHA 1/2", H = 1 M</t>
  </si>
  <si>
    <t>Sinapi 10931</t>
  </si>
  <si>
    <t>SF-00956</t>
  </si>
  <si>
    <t>SF-00957</t>
  </si>
  <si>
    <t>SF-00958</t>
  </si>
  <si>
    <t>Papel kraft betumado</t>
  </si>
  <si>
    <t>Sinapi 38366</t>
  </si>
  <si>
    <t>SF-00959</t>
  </si>
  <si>
    <t>SF-00960</t>
  </si>
  <si>
    <t>SF-00961</t>
  </si>
  <si>
    <t>Broca com ponta de widia Ø 3/8" x 160 mm</t>
  </si>
  <si>
    <t>Furadeira de impacto elétrica - 0,65 kW, Ø mandril 5/8"</t>
  </si>
  <si>
    <t>h prod</t>
  </si>
  <si>
    <t>GRAUTE FGK=25 MPA; TRAÇO 1:0,02:1,2:1,5 (CIMENTO/ CAL/ AREIA GROSSA/ BRITA 0) - PREPARO MECÂNICO COM BETONEIRA 400 L. AF_02/2015</t>
  </si>
  <si>
    <t>Sinapi 90280 Adaptada</t>
  </si>
  <si>
    <r>
      <rPr>
        <b/>
        <sz val="10"/>
        <rFont val="Arial"/>
        <family val="2"/>
      </rPr>
      <t>Fontes:</t>
    </r>
    <r>
      <rPr>
        <sz val="10"/>
        <rFont val="Arial"/>
        <family val="2"/>
      </rPr>
      <t xml:space="preserve"> PINI 05.102.000020.SER</t>
    </r>
  </si>
  <si>
    <t>SF-00962</t>
  </si>
  <si>
    <t>Insert metálico tipo 2, conforme projeto</t>
  </si>
  <si>
    <t>SF-00964</t>
  </si>
  <si>
    <t>ORSE 03735 Adaptada</t>
  </si>
  <si>
    <t>Mármore branco especial 20mm</t>
  </si>
  <si>
    <t>ORSE 03735</t>
  </si>
  <si>
    <t>SF-00965</t>
  </si>
  <si>
    <t>PARAFUSO DE ACO TIPO CHUMBADOR PARABOLT, DIAMETRO 3/8", COMPRIMENTO 75 MM</t>
  </si>
  <si>
    <t>Sinapi 11964</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</si>
  <si>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</si>
  <si>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</si>
  <si>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</si>
  <si>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</si>
  <si>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</si>
  <si>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</si>
  <si>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</si>
  <si>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</si>
  <si>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</si>
  <si>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</si>
  <si>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</si>
  <si>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Pini 10.104.000025.SER Adaptada</t>
  </si>
  <si>
    <t>Pini 10.104.000025.SER</t>
  </si>
  <si>
    <t>Ajudante de pintor com Encargos Complementares</t>
  </si>
  <si>
    <t>Hidrofugante à base de silano e silicone</t>
  </si>
  <si>
    <t>Pini 10.104.000025.MAT</t>
  </si>
  <si>
    <t>SF-00973</t>
  </si>
  <si>
    <t>Pini 23.101.000080.SER Adaptada</t>
  </si>
  <si>
    <t>Pini 23.101.000080.SER</t>
  </si>
  <si>
    <t>Cantoneira em alumínio abas iguais 1" x 1/8" com pintura eletrostática branca</t>
  </si>
  <si>
    <t>SF-00974</t>
  </si>
  <si>
    <t>Granito Amarelo Capri para rodapé</t>
  </si>
  <si>
    <t>SF-00975</t>
  </si>
  <si>
    <t>Lixadeira angular manual elétrica Ø 7" 2200 W 6600 rpm</t>
  </si>
  <si>
    <t>loc/un/dia</t>
  </si>
  <si>
    <t>Pini 05.108.000430.MAT</t>
  </si>
  <si>
    <t>Ponta montada A2 haste 1/4"</t>
  </si>
  <si>
    <t>SF-00976</t>
  </si>
  <si>
    <t>Pini 22.150.000130.SER Adaptada</t>
  </si>
  <si>
    <t>Pini 22.150.000130.SER</t>
  </si>
  <si>
    <t>SF-00977</t>
  </si>
  <si>
    <t>CDHU 409678 Adaptada</t>
  </si>
  <si>
    <t>CDHU 409678</t>
  </si>
  <si>
    <t>Primer de secagem rápida e alto poder de aderência ao concreto</t>
  </si>
  <si>
    <t>Corpo de apoio em polietileno para aplicação de mástiques em juntas</t>
  </si>
  <si>
    <t>Pini 22.115.000010.MAT</t>
  </si>
  <si>
    <t>SELANTE ELASTICO MONOCOMPONENTE A BASE DE POLIURETANO (PU) PARA JUNTAS DIVERSAS</t>
  </si>
  <si>
    <t>310ml</t>
  </si>
  <si>
    <t>CDHU 406922</t>
  </si>
  <si>
    <t>Sinapi 142</t>
  </si>
  <si>
    <t>SF-00978</t>
  </si>
  <si>
    <t>CDHU 406922 Adaptada</t>
  </si>
  <si>
    <t>SF-00980</t>
  </si>
  <si>
    <t>Sinapi 100860</t>
  </si>
  <si>
    <t>CHUVEIRO COMUM EM PLASTICO BRANCO, COM CANO, 3 TEMPERATURAS, 5500 W (110/220 V)</t>
  </si>
  <si>
    <t>Sinapi 1368</t>
  </si>
  <si>
    <t>FITA VEDA ROSCA EM ROLOS DE 18 MM X 10 M (L X C)</t>
  </si>
  <si>
    <t>SF-00981</t>
  </si>
  <si>
    <t>Sinapi 96620 Adaptada</t>
  </si>
  <si>
    <t>Sinapi 96620</t>
  </si>
  <si>
    <t>CONCRETO MAGRO PARA LASTRO, TRAÇO 1:4,5:4,5 (CIMENTO/ AREIA MÉDIA/ BRITA 1)  - PREPARO MECÂNICO COM BETONEIRA 600 L. AF_07/2016</t>
  </si>
  <si>
    <t>Sinapi 94968 Adaptada</t>
  </si>
  <si>
    <t>SF-00982</t>
  </si>
  <si>
    <t>Sinapi 72183 Adaptada</t>
  </si>
  <si>
    <t>TELA DE ACO SOLDADA NERVURADA, CA-60, Q-196, (3,11 KG/M2), DIAMETRO DO FIO = 5,0 MM, LARGURA = 2,45 M, ESPACAMENTO DA MALHA = 10 X 10 CM</t>
  </si>
  <si>
    <t>Sinapi 72183</t>
  </si>
  <si>
    <t>Sinapi 7156</t>
  </si>
  <si>
    <t>CONCRETO FCK = 20MPA, TRAÇO 1:2,7:3 (CIMENTO/ AREIA MÉDIA/ BRITA 1)  - PREPARO MECÂNICO COM BETONEIRA 600 L. AF_07/2016</t>
  </si>
  <si>
    <t>Sinapi 94970 Adaptada</t>
  </si>
  <si>
    <t>310ML</t>
  </si>
  <si>
    <t>Sinapi 68325</t>
  </si>
  <si>
    <t>SF-00983</t>
  </si>
  <si>
    <t>CDHU 406866 Adaptada</t>
  </si>
  <si>
    <t>CDHU 406866</t>
  </si>
  <si>
    <t>SF-00984</t>
  </si>
  <si>
    <t>CAMINHÃO BASCULANTE 6 M3 TOCO, PESO BRUTO TOTAL 16.000 KG, CARGA ÚTIL MÁXIMA 11.130 KG, DISTÂNCIA ENTRE EIXOS 5,36 M, POTÊNCIA 185 CV, INCLUSIVE CAÇAMBA METÁLICA - CHP DIURNO. AF_06/2014</t>
  </si>
  <si>
    <t>Sinapi 67826</t>
  </si>
  <si>
    <t>CAMINHÃO BASCULANTE 6 M3 TOCO, PESO BRUTO TOTAL 16.000 KG, CARGA ÚTIL MÁXIMA 11.130 KG, DISTÂNCIA ENTRE EIXOS 5,36 M, POTÊNCIA 185 CV, INCLUSIVE CAÇAMBA METÁLICA - CHI DIURNO. AF_06/2014</t>
  </si>
  <si>
    <t>Sinapi 67827</t>
  </si>
  <si>
    <t>SF-00986</t>
  </si>
  <si>
    <t>EMOP 05.002.0065-0 Adaptada</t>
  </si>
  <si>
    <t>EMOP 05.002.0065-0</t>
  </si>
  <si>
    <t>APARELHO PARA CORTE E SOLDA OXI-ACETILENO SOBRE RODAS, INCLUSIVE CILINDROS E MAÇARICOS - CHP DIURNO. AF_12/2015</t>
  </si>
  <si>
    <t>Sinapi 92716</t>
  </si>
  <si>
    <t>Soldador com encargos complementares</t>
  </si>
  <si>
    <t>Sinapi 88317</t>
  </si>
  <si>
    <t>SF-00987</t>
  </si>
  <si>
    <t>EMOP 03.001.0002-1 Adaptada</t>
  </si>
  <si>
    <t>EMOP 03.001.0002-1</t>
  </si>
  <si>
    <t>SF-00988</t>
  </si>
  <si>
    <t>Sinapi 79480</t>
  </si>
  <si>
    <t>TRATOR DE ESTEIRAS, POTÊNCIA 100 HP, PESO OPERACIONAL 9,4 T, COM LÂMINA 2,19 M3 - CHP DIURNO. AF_06/2014</t>
  </si>
  <si>
    <t>Sinapi 89032</t>
  </si>
  <si>
    <t>SF-00989</t>
  </si>
  <si>
    <t>Sinapi 98504 Adaptada</t>
  </si>
  <si>
    <t>GRAMA BATATAIS EM PLACAS, SEM PLANTIO</t>
  </si>
  <si>
    <t>Sinapi 98504</t>
  </si>
  <si>
    <t>Sinapi 3324</t>
  </si>
  <si>
    <t>JARDINEIRO COM ENCARGOS COMPLEMENTARES</t>
  </si>
  <si>
    <t>Sinapi 88441</t>
  </si>
  <si>
    <t>Pini 30.147.000055.SER Adaptada</t>
  </si>
  <si>
    <t>CALCARIO DOLOMITICO A (POSTO PEDREIRA/FORNECEDOR, SEM FRETE)</t>
  </si>
  <si>
    <t>Sinapi 25963</t>
  </si>
  <si>
    <t>TERRA VEGETAL (GRANEL)</t>
  </si>
  <si>
    <t>Sinapi 7253</t>
  </si>
  <si>
    <t>FERTILIZANTE NPK - 10:10:10</t>
  </si>
  <si>
    <t>Sinapi 25951</t>
  </si>
  <si>
    <t>FERTILIZANTE ORGANICO COMPOSTO, CLASSE A</t>
  </si>
  <si>
    <t>Sinapi 38125</t>
  </si>
  <si>
    <t>t</t>
  </si>
  <si>
    <t>Sinapi 72844</t>
  </si>
  <si>
    <t>Obs.: Considerando fornecedor de calcário a 20km do Senado Federal.</t>
  </si>
  <si>
    <t>SF-00990</t>
  </si>
  <si>
    <t>Sinapi 74245/1 Adaptada</t>
  </si>
  <si>
    <t>TINTA ACRILICA PREMIUM PARA PISO</t>
  </si>
  <si>
    <t>Sinapi 74245/1</t>
  </si>
  <si>
    <t>Sinapi 7348</t>
  </si>
  <si>
    <t>PINTOR COM ENCARGOS COMPLEMENTARES</t>
  </si>
  <si>
    <t>Obs: considerando uma demão, meio-fio de 30 cm x 15 cm x 13 cm (altura, base inferior, base superior), enterrado 5 cm.</t>
  </si>
  <si>
    <t>SF-00991</t>
  </si>
  <si>
    <t>Sinapi 94273 Adaptada</t>
  </si>
  <si>
    <t>Sinapi 94273</t>
  </si>
  <si>
    <t>MEIO-FIO OU GUIA DE CONCRETO, PRE-MOLDADO, COMP 1 M, *30 X 15/ 12* CM (H X L1/L2)</t>
  </si>
  <si>
    <t>Sinapi 4059</t>
  </si>
  <si>
    <t>Obs.: Considerando fornecedor de areia a 20km do Senado Federal.</t>
  </si>
  <si>
    <t>SF-00992</t>
  </si>
  <si>
    <t>Sinapi 73816/1 Adaptada</t>
  </si>
  <si>
    <t>PEDRA BRITADA N. 2 (19 A 38 MM) POSTO PEDREIRA/FORNECEDOR, SEM FRETE</t>
  </si>
  <si>
    <t>Sinapi 73816/1</t>
  </si>
  <si>
    <t>CAMINHÃO BASCULANTE 6 M3, PESO BRUTO TOTAL 16.000 KG, CARGA ÚTIL MÁXIMA 13.071 KG, DISTÂNCIA ENTRE EIXOS 4,80 M, POTÊNCIA 230 CV INCLUSIVE CAÇAMBA METÁLICA - CHP DIURNO. AF_06/2014</t>
  </si>
  <si>
    <t>Sinapi 5811</t>
  </si>
  <si>
    <t>TUBO DRENO, CORRUGADO, ESPIRALADO, FLEXIVEL, PERFURADO, EM POLIETILENO DE ALTA DENSIDADE (PEAD), DN 100 MM, (4") PARA DRENAGEM - EM ROLO (NORMA DNIT 093/2006 - E.M)</t>
  </si>
  <si>
    <t>Sinapi 38052</t>
  </si>
  <si>
    <t>PLACA VIBRATÓRIA REVERSÍVEL COM MOTOR 4 TEMPOS A GASOLINA, FORÇA CENTRÍFUGA DE 25 KN (2500 KGF), POTÊNCIA 5,5 CV - CHP DIURNO. AF_08/2015</t>
  </si>
  <si>
    <t>Sinapi 91277</t>
  </si>
  <si>
    <t>Obs.: Considerando fornecedor de brita a 20km do Senado Federal.</t>
  </si>
  <si>
    <t>SF-00994</t>
  </si>
  <si>
    <t>Insert metálico tipo 3, conforme projeto</t>
  </si>
  <si>
    <t>SF-01001</t>
  </si>
  <si>
    <t>Sinapi 10775</t>
  </si>
  <si>
    <t>LOCACAO DE CONTAINER 2,30  X  6,00 M, ALT. 2,50 M, COM 1 SANITARIO, PARA ESCRITORIO, COMPLETO, SEM DIVISORIAS INTERNAS</t>
  </si>
  <si>
    <t>SF-01011</t>
  </si>
  <si>
    <t>Sinapi 90446 + Sinapi 90470 Adaptada</t>
  </si>
  <si>
    <t>MARTELETE OU ROMPEDOR PNEUMÁTICO MANUAL, 28 KG, COM SILENCIADOR - CHP DIURNO. AF_07/2016</t>
  </si>
  <si>
    <t>Sinapi 90446</t>
  </si>
  <si>
    <t>MARTELETE OU ROMPEDOR PNEUMÁTICO MANUAL, 28 KG, COM SILENCIADOR - CHI DIURNO. AF_07/2016</t>
  </si>
  <si>
    <t>Sinapi 90470</t>
  </si>
  <si>
    <t>SF-01012</t>
  </si>
  <si>
    <t>SF-01013</t>
  </si>
  <si>
    <t>Impermeabilizante Idea HP</t>
  </si>
  <si>
    <t>Obs: Rendimento informado na especificação do serviço (12 m2 para 1 L, considerando duas demãos).</t>
  </si>
  <si>
    <t>Fonte: SINAPI 73872/2</t>
  </si>
  <si>
    <t>SF-01014</t>
  </si>
  <si>
    <t>Sinapi 98673 Adaptada</t>
  </si>
  <si>
    <t>Sinapi 98673</t>
  </si>
  <si>
    <t>PLACA VINILICA SEMIFLEXIVEL PARA REVESTIMENTO DE PISOS E PAREDES, E = 2 MM (SEM COLOCACAO)</t>
  </si>
  <si>
    <t>Sinapi 4790</t>
  </si>
  <si>
    <t>POLIDORA DE PISO (POLITRIZ), PESO DE 100KG, DIÂMETRO 450 MM, MOTOR ELÉTRICO, POTÊNCIA 4 HP - CHP DIURNO. AF_09/2016</t>
  </si>
  <si>
    <t>Sinapi 95276</t>
  </si>
  <si>
    <t>POLIDORA DE PISO (POLITRIZ), PESO DE 100KG, DIÂMETRO 450 MM, MOTOR ELÉTRICO, POTÊNCIA 4 HP - CHI DIURNO. AF_09/2016</t>
  </si>
  <si>
    <t>Sinapi 95277</t>
  </si>
  <si>
    <t>SF-01029</t>
  </si>
  <si>
    <t>Sinapi 10778</t>
  </si>
  <si>
    <t>LOCACAO DE CONTAINER 2,30 X 6,00 M, ALT. 2,50 M,  PARA SANITARIO,  COM 4 BACIAS, 8 CHUVEIROS,1 LAVATORIO E 1 MICTORIO</t>
  </si>
  <si>
    <t>SF-01030</t>
  </si>
  <si>
    <t>Sinapi 10776</t>
  </si>
  <si>
    <t>LOCACAO DE CONTAINER 2,30  X  6,00 M, ALT. 2,50 M, PARA ESCRITORIO, SEM DIVISORIAS INTERNAS E SEM SANITARIO</t>
  </si>
  <si>
    <t>SF-01031</t>
  </si>
  <si>
    <t>Sinapi 4813</t>
  </si>
  <si>
    <t>PLACA DE OBRA (PARA CONSTRUCAO CIVIL) EM CHAPA GALVANIZADA *N. 22*, ADESIVADA, DE *2,0 X 1,125* M</t>
  </si>
  <si>
    <t>SF-01041</t>
  </si>
  <si>
    <t>TÉCNICO EM SEGURANÇA DO TRABALHO COM ENCARGOS COMPLEMENTARES</t>
  </si>
  <si>
    <t>Sinapi 100321</t>
  </si>
  <si>
    <t>SF-01053</t>
  </si>
  <si>
    <t>Adesivo epóxi estrutural - bisnaga de 50ml</t>
  </si>
  <si>
    <t>SF-01054</t>
  </si>
  <si>
    <t>SIURB 08-01-70</t>
  </si>
  <si>
    <t>Perfil metálico em chapa #14 dobrada</t>
  </si>
  <si>
    <t>CDHU 403091</t>
  </si>
  <si>
    <t>SILICONE ACETICO USO GERAL INCOLOR 280 G</t>
  </si>
  <si>
    <t>Fonte: SIURB 08-01-70 e CDHU 403091</t>
  </si>
  <si>
    <t>SF-01059</t>
  </si>
  <si>
    <t>Sinapi 86899 Adaptada</t>
  </si>
  <si>
    <t>Granito Vermelho Brasília, com 20 mm de espessura, polido, com testeira para acabamento em meia esquadria, para bancadas</t>
  </si>
  <si>
    <t>SF-01060</t>
  </si>
  <si>
    <t>Sinapi 91341</t>
  </si>
  <si>
    <t>BUCHA DE NYLON SEM ABA S10, COM PARAFUSO DE 6,10 X 65 MM EM ACO ZINCADO COM ROSCA SOBERBA, CABECA CHATA E FENDA PHILLIPS</t>
  </si>
  <si>
    <t>Sinapi 7568</t>
  </si>
  <si>
    <t>GUARNICAO/MOLDURA DE ACABAMENTO PARA ESQUADRIA DE ALUMINIO ANODIZADO NATURAL, PARA 1 FACE</t>
  </si>
  <si>
    <t>Sinapi 36888</t>
  </si>
  <si>
    <t>PORTA DE ABRIR EM ALUMINIO TIPO VENEZIANA, ACABAMENTO ANODIZADO NATURAL, SEM GUARNICAO/ALIZAR/VISTA, 87 X 210 CM</t>
  </si>
  <si>
    <t>Sinapi 39025</t>
  </si>
  <si>
    <t>Pedreiro com encargos complementares</t>
  </si>
  <si>
    <t>SF-01061</t>
  </si>
  <si>
    <t>Sinapi 94569</t>
  </si>
  <si>
    <t>JANELA MAXIM AR EM ALUMINIO, 80 X 60 CM (A X L), BATENTE/REQUADRO DE 4 A 14 CM, COM VIDRO, SEM GUARNICAO/ALIZAR</t>
  </si>
  <si>
    <t>Sinapi 601</t>
  </si>
  <si>
    <t>PARAFUSO DE ACO ZINCADO COM ROSCA SOBERBA, CABECA CHATA E FENDA SIMPLES, DIAMETRO 4,2 MM, COMPRIMENTO * 32 * MM</t>
  </si>
  <si>
    <t>Sinapi 4377</t>
  </si>
  <si>
    <t>SF-01062</t>
  </si>
  <si>
    <t>Pìni 12.104.000650.SER Adaptada</t>
  </si>
  <si>
    <t>PORTA DE ENROLAR MANUAL COMPLETA, ARTICULADA RAIADA LARGA, EM ACO GALVANIZADO NATURAL, CHAPA NUMERO 24 (SEM INSTALACAO)</t>
  </si>
  <si>
    <t>Pìni 12.104.000650.SER</t>
  </si>
  <si>
    <t>Sinapi 4911</t>
  </si>
  <si>
    <t>SF-01063</t>
  </si>
  <si>
    <t>Sinapi 100788 Adaptada</t>
  </si>
  <si>
    <t>Sinapi 100788</t>
  </si>
  <si>
    <t>COTOVELO 90 GRAUS DE FERRO GALVANIZADO, COM ROSCA BSP, DE 1"</t>
  </si>
  <si>
    <t>Sinapi 3472</t>
  </si>
  <si>
    <t>NIPLE DE FERRO GALVANIZADO, COM ROSCA BSP, DE 1"</t>
  </si>
  <si>
    <t>Sinapi 4179</t>
  </si>
  <si>
    <t>PLUG OU BUJAO DE FERRO GALVANIZADO, DE 1/2"</t>
  </si>
  <si>
    <t>Sinapi 4888</t>
  </si>
  <si>
    <t>TE DE REDUCAO DE FERRO GALVANIZADO, COM ROSCA BSP, DE 1" X 1/2"</t>
  </si>
  <si>
    <t>Sinapi 6320</t>
  </si>
  <si>
    <t>UNIAO DE FERRO GALVANIZADO, COM ROSCA BSP, COM ASSENTO PLANO, DE 1"</t>
  </si>
  <si>
    <t>Sinapi 9886</t>
  </si>
  <si>
    <t>VALVULA DE ESFERA BRUTA EM BRONZE, BITOLA 1 " (REF 1552-B)</t>
  </si>
  <si>
    <t>VALVULA DE ESFERA BRUTA EM BRONZE, BITOLA 1/2 " (REF 1552-B)</t>
  </si>
  <si>
    <t>Sinapi 11748</t>
  </si>
  <si>
    <t>TUBO ACO GALVANIZADO COM COSTURA, CLASSE MEDIA, DN 1", E = 3,38 MM, PESO 2,50 KG/M (NBR 5580)</t>
  </si>
  <si>
    <t>Sinapi 40626</t>
  </si>
  <si>
    <t xml:space="preserve">MEDIDOR DE GÁS EM ALUMÍNIO. Ref. LAO G6 </t>
  </si>
  <si>
    <t>SF-01064</t>
  </si>
  <si>
    <t>Sinapi 90371 Adaptada</t>
  </si>
  <si>
    <t>Sinapi 90371</t>
  </si>
  <si>
    <t>Válvula de esfera tripartida Classe 300</t>
  </si>
  <si>
    <t>SF-01065</t>
  </si>
  <si>
    <t>Sinapi 97733 Adaptada</t>
  </si>
  <si>
    <t>CHAPA DE MADEIRA COMPENSADA RESINADA PARA FORMA DE CONCRETO, DE *2,2 X 1,1* M, E = 17 MM</t>
  </si>
  <si>
    <t>Sinapi 97733</t>
  </si>
  <si>
    <t>Sinapi 1358</t>
  </si>
  <si>
    <t>DESMOLDANTE PROTETOR PARA FORMAS DE MADEIRA, DE BASE OLEOSA EMULSIONADA EM AGUA</t>
  </si>
  <si>
    <t>PREGO DE ACO POLIDO COM CABECA 15 X 15 (1 1/4 X 13)</t>
  </si>
  <si>
    <t>Sinapi 20247</t>
  </si>
  <si>
    <t>VIBRADOR DE IMERSÃO, DIÂMETRO DE PONTEIRA 45MM, MOTOR ELÉTRICO TRIFÁSICO POTÊNCIA DE 2 CV - CHP DIURNO. AF_06/2015</t>
  </si>
  <si>
    <t>Sinapi 90586</t>
  </si>
  <si>
    <t>VIBRADOR DE IMERSÃO, DIÂMETRO DE PONTEIRA 45MM, MOTOR ELÉTRICO TRIFÁSICO POTÊNCIA DE 2 CV - CHI DIURNO. AF_06/2015</t>
  </si>
  <si>
    <t>Sinapi 90587</t>
  </si>
  <si>
    <t>SERRA CIRCULAR DE BANCADA COM MOTOR ELÉTRICO POTÊNCIA DE 5HP, COM COIFA PARA DISCO 10" - CHP DIURNO. AF_08/2015</t>
  </si>
  <si>
    <t>Sinapi 91692</t>
  </si>
  <si>
    <t>SERRA CIRCULAR DE BANCADA COM MOTOR ELÉTRICO POTÊNCIA DE 5HP, COM COIFA PARA DISCO 10" - CHI DIURNO. AF_08/2015</t>
  </si>
  <si>
    <t>Sinapi 91693</t>
  </si>
  <si>
    <t>ARMAÇÃO DE LAJE DE UMA ESTRUTURA CONVENCIONAL DE CONCRETO ARMADO EM UMA EDIFICAÇÃO TÉRREA OU SOBRADO UTILIZANDO AÇO CA-60 DE 4,2 MM - MONTAGEM. AF_12/2015</t>
  </si>
  <si>
    <t>Sinapi 92783</t>
  </si>
  <si>
    <t>CONCRETO FCK = 15MPA, TRAÇO 1:3,4:3,5 (CIMENTO/ AREIA MÉDIA/ BRITA 1)  - PREPARO MECÂNICO COM BETONEIRA 600 L. AF_07/2016</t>
  </si>
  <si>
    <t>Sinapi 94969 Adaptada</t>
  </si>
  <si>
    <t>SF-01066</t>
  </si>
  <si>
    <t>Sinapi 97669</t>
  </si>
  <si>
    <t>ELETRODUTO/DUTO PEAD FLEXIVEL PAREDE SIMPLES, CORRUGACAO HELICOIDAL, COR PRETA, SEM ROSCA, DE 3",  PARA CABEAMENTO SUBTERRANEO (NBR 15715)</t>
  </si>
  <si>
    <t>Sinapi 2442</t>
  </si>
  <si>
    <t>AUXILIAR DE ELETRICISTA COM ENCARGOS COMPLEMENTARES</t>
  </si>
  <si>
    <t>ELETRICISTA COM ENCARGOS COMPLEMENTARES</t>
  </si>
  <si>
    <t>SF-01068</t>
  </si>
  <si>
    <t>Pini 16.111.001107.SER Adaptada</t>
  </si>
  <si>
    <t>Eletroduto de aço com costura galvanização eletrolítica Ø 3"</t>
  </si>
  <si>
    <t>Pini 16.111.001107.SER</t>
  </si>
  <si>
    <t>SF-01069</t>
  </si>
  <si>
    <t>Pini 13.121.000520.SER Adaptada</t>
  </si>
  <si>
    <t>Grelha em ferro fundido com caixilho de apoio espessura 15 mm, largura 200 mm</t>
  </si>
  <si>
    <t>Pini 13.121.000520.SER</t>
  </si>
  <si>
    <t>Pini 13.121.000520.MAT</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</si>
  <si>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</si>
  <si>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</si>
  <si>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</si>
  <si>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</si>
  <si>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</si>
  <si>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PISO TATIL ALERTA OU DIRECIONAL, DE BORRACHA, COLORIDO, 25 X 25 CM, E = 5 MM, PARA COLA</t>
  </si>
  <si>
    <t>Sinapi 38181</t>
  </si>
  <si>
    <t>SF-01073</t>
  </si>
  <si>
    <t>Granito Vermelho Brasília ou equivalente, com 30 mm de espessura, polido em todas as faces aparentes, para divisórias</t>
  </si>
  <si>
    <t>SF-01074</t>
  </si>
  <si>
    <t>TAMPAO FOFO ARTICULADO P/ REGISTRO, CLASSE A15 CARGA MAX 1,5 T, *200 X 200* MM</t>
  </si>
  <si>
    <t>Sinapi 11289</t>
  </si>
  <si>
    <t>SF-01076</t>
  </si>
  <si>
    <t>Cerâmica GAIL (Referência 1009 Placa Cerâmica Linha Gressit da Marca Gail, tamanho 240 mm x 116 mm, espessura 9 mm)</t>
  </si>
  <si>
    <t>SF-01077</t>
  </si>
  <si>
    <t>Sinapi 94342 Adaptada</t>
  </si>
  <si>
    <t>AREIA PARA ATERRO - POSTO JAZIDA/FORNECEDOR (RETIRADO NA JAZIDA, SEM TRANSPORTE)</t>
  </si>
  <si>
    <t>Sinapi 94342</t>
  </si>
  <si>
    <t>Sinapi 368</t>
  </si>
  <si>
    <t>SF-01078</t>
  </si>
  <si>
    <t>Sinapi 99841</t>
  </si>
  <si>
    <t>CHAPA DE ACO GROSSA, ASTM A36, E = 3/8 " (9,53 MM) 74,69 KG/M2</t>
  </si>
  <si>
    <t>Sinapi 1332</t>
  </si>
  <si>
    <t>ELETRODO REVESTIDO AWS - E6013, DIAMETRO IGUAL A 2,50 MM</t>
  </si>
  <si>
    <t>Sinapi 11002</t>
  </si>
  <si>
    <t>PARAFUSO DE FERRO POLIDO, SEXTAVADO, COM ROSCA INTEIRA, DIAMETRO 5/16", COMPRIMENTO 3/4", COM PORCA E ARRUELA LISA LEVE</t>
  </si>
  <si>
    <t>Sinapi 13246</t>
  </si>
  <si>
    <t>PERFIL DE BORRACHA EPDM MACICO *12 X 15* MM PARA ESQUADRIAS</t>
  </si>
  <si>
    <t>Sinapi 20259</t>
  </si>
  <si>
    <t>VIDRO COMUM LAMINADO LISO INCOLOR DUPLO, ESPESSURA TOTAL 8 MM (CADA CAMADA DE 4 MM) - COLOCADO</t>
  </si>
  <si>
    <t>Sinapi 34391</t>
  </si>
  <si>
    <t>SERRALHEIRO COM ENCARGOS COMPLEMENTARES</t>
  </si>
  <si>
    <t>SF-01080</t>
  </si>
  <si>
    <t>Perfil "U" em aço galvanizado 25mm x 25mm, espessura 1,5mm (#16)</t>
  </si>
  <si>
    <t>SF-01082</t>
  </si>
  <si>
    <t>Sinapi 37370</t>
  </si>
  <si>
    <t>ALIMENTACAO - HORISTA (COLETADO CAIXA)</t>
  </si>
  <si>
    <t>SF-01083</t>
  </si>
  <si>
    <t>Sinapi 37371</t>
  </si>
  <si>
    <t>TRANSPORTE - HORISTA (COLETADO CAIXA)</t>
  </si>
  <si>
    <t>SF-01088</t>
  </si>
  <si>
    <t>Sinapi 92289</t>
  </si>
  <si>
    <t>COTOVELO DE COBRE 90 GRAUS (REF 607) SEM ANEL DE SOLDA, BOLSA X BOLSA, 35 MM</t>
  </si>
  <si>
    <t>Sinapi 12717</t>
  </si>
  <si>
    <t>SOLDA ESTANHO/COBRE PARA CONEXOES DE COBRE, FIO 2,5 MM, CARRETEL 500 GR (SEM CHUMBO)</t>
  </si>
  <si>
    <t>Sinapi 12732</t>
  </si>
  <si>
    <t>LIXA D'AGUA EM FOLHA, GRAO 100</t>
  </si>
  <si>
    <t>PASTA PARA SOLDA DE TUBOS E CONEXOES DE COBRE (EMBALAGEM COM 250 G)</t>
  </si>
  <si>
    <t>Sinapi 39897</t>
  </si>
  <si>
    <t>SF-01089</t>
  </si>
  <si>
    <t>Sinapi 92290</t>
  </si>
  <si>
    <t>COTOVELO DE COBRE 90 GRAUS (REF 607) SEM ANEL DE SOLDA, BOLSA X BOLSA, 42 MM</t>
  </si>
  <si>
    <t>Sinapi 12718</t>
  </si>
  <si>
    <t>SF-01090</t>
  </si>
  <si>
    <t>Sinapi 92287</t>
  </si>
  <si>
    <t>COTOVELO DE COBRE 90 GRAUS (REF 607) SEM ANEL DE SOLDA, BOLSA X BOLSA, 22 MM</t>
  </si>
  <si>
    <t>Sinapi 12715</t>
  </si>
  <si>
    <t>SF-01092</t>
  </si>
  <si>
    <t>Sinapi 92295</t>
  </si>
  <si>
    <t>LUVA DE COBRE (REF 600) SEM ANEL DE SOLDA, BOLSA X BOLSA, 35 MM</t>
  </si>
  <si>
    <t>Sinapi 12726</t>
  </si>
  <si>
    <t>SF-01093</t>
  </si>
  <si>
    <t>Sinapi 92296</t>
  </si>
  <si>
    <t>LUVA DE COBRE (REF 600) SEM ANEL DE SOLDA, BOLSA X BOLSA, 42 MM</t>
  </si>
  <si>
    <t>Sinapi 12727</t>
  </si>
  <si>
    <t>SF-01094</t>
  </si>
  <si>
    <t>Sinapi 92293</t>
  </si>
  <si>
    <t>LUVA DE COBRE (REF 600) SEM ANEL DE SOLDA, BOLSA X BOLSA, 22 MM</t>
  </si>
  <si>
    <t>Sinapi 12724</t>
  </si>
  <si>
    <t>SF-01097</t>
  </si>
  <si>
    <t>Sinapi 97337</t>
  </si>
  <si>
    <t>TUBO DE COBRE CLASSE "A", DN = 1 1/4 " (35 MM), PARA INSTALACOES DE MEDIA PRESSAO PARA GASES COMBUSTIVEIS E MEDICINAIS</t>
  </si>
  <si>
    <t>Sinapi 39750</t>
  </si>
  <si>
    <t>SF-01098</t>
  </si>
  <si>
    <t>Sinapi 97338</t>
  </si>
  <si>
    <t>TUBO DE COBRE CLASSE "A", DN = 1 1/2 " (42 MM), PARA INSTALACOES DE MEDIA PRESSAO PARA GASES COMBUSTIVEIS E MEDICINAIS</t>
  </si>
  <si>
    <t>Sinapi 39751</t>
  </si>
  <si>
    <t>SF-01101</t>
  </si>
  <si>
    <t>Sinapi 91850 Adaptada</t>
  </si>
  <si>
    <t>ELETRODUTO FLEXIVEL, EM ACO GALVANIZADO, REVESTIDO EXTERNAMENTE COM PVC PRETO, DIAMETRO EXTERNO DE 50 MM( 1 1/2"), TIPO SEALTUBO</t>
  </si>
  <si>
    <t>Sinapi 91850</t>
  </si>
  <si>
    <t>Sinapi 2503</t>
  </si>
  <si>
    <t>SF-01102</t>
  </si>
  <si>
    <t>TECNICO DE EDIFICACOES COM ENCARGOS COMPLEMENTARES</t>
  </si>
  <si>
    <t>Sinapi 100534</t>
  </si>
  <si>
    <t>SF-01104</t>
  </si>
  <si>
    <t>ENGENHEIRO CIVIL PLENO COM ENCARGOS COMPLEMENTARES</t>
  </si>
  <si>
    <t>SF-01105</t>
  </si>
  <si>
    <t>Pìni 23.104.000050.SER Adaptada</t>
  </si>
  <si>
    <t>Pini 23.104.000050.SER</t>
  </si>
  <si>
    <t>TAQUEADOR OU TAQUEIRO COM ENCARGOS COMPLEMENTARES</t>
  </si>
  <si>
    <t>Sinapi 88320</t>
  </si>
  <si>
    <t>Laminado melamínico texturizado esp. 1,3 mm</t>
  </si>
  <si>
    <t>Pini 23.104.000050.MAT</t>
  </si>
  <si>
    <t>SF-01106</t>
  </si>
  <si>
    <t>Granito Preto Absoluto, com 20 mm de espessura</t>
  </si>
  <si>
    <t>SF-01107</t>
  </si>
  <si>
    <t>Granito Arabesco, com 20 mm de espessura</t>
  </si>
  <si>
    <t>SF-01108</t>
  </si>
  <si>
    <t>Sinapi 87259</t>
  </si>
  <si>
    <t>PISO EM PORCELANATO RETIFICADO EXTRA, FORMATO MENOR OU IGUAL A 2025 CM2</t>
  </si>
  <si>
    <t>Sinapi 21108</t>
  </si>
  <si>
    <t>REJUNTE COLORIDO, CIMENTICIO</t>
  </si>
  <si>
    <t>AZULEJISTA OU LADRILHISTA COM ENCARGOS COMPLEMENTARES</t>
  </si>
  <si>
    <t>SF-01109</t>
  </si>
  <si>
    <t>Sinapi 84191</t>
  </si>
  <si>
    <t>JUNTA PLASTICA DE DILATACAO PARA PISOS, COR CINZA, 17 X 3 MM (ALTURA X ESPESSURA)</t>
  </si>
  <si>
    <t>Sinapi 3671</t>
  </si>
  <si>
    <t>PISO EM GRANILITE, MARMORITE OU GRANITINA, AGREGADO COR PRETO, CINZA, PALHA OU BRANCO, E=  *8* MM (INCLUSO EXECUCAO)</t>
  </si>
  <si>
    <t>Sinapi 4786</t>
  </si>
  <si>
    <t>SF-01110</t>
  </si>
  <si>
    <t>Pini 22.148.000055.SER Adaptada</t>
  </si>
  <si>
    <t>Piso vinílico em manta esp. 2 mm</t>
  </si>
  <si>
    <t>Pini 22.148.000055.SER</t>
  </si>
  <si>
    <t>SF-01111</t>
  </si>
  <si>
    <t>SELANTE MONOCOMPONENTE A BASE DE SILICONE DE BAIXO MODULO, PARA JUNTAS DE PAVIMENTACAO</t>
  </si>
  <si>
    <t>Sinapi 43142</t>
  </si>
  <si>
    <t>SF-01112</t>
  </si>
  <si>
    <t>Pini 20.105.000010.SER Adaptada</t>
  </si>
  <si>
    <t>Pini 20.105.000010.SER</t>
  </si>
  <si>
    <t>Alvaiade para uso em estucagem ou rejunte</t>
  </si>
  <si>
    <t>Pini 20.105.000010.MAT</t>
  </si>
  <si>
    <t>Adesivo de base acrílica compatível com cimento</t>
  </si>
  <si>
    <t>Lixa grana 100 para superfície metálica</t>
  </si>
  <si>
    <t>Pini 20.105.000015.MAT</t>
  </si>
  <si>
    <t>Fonte: Pini 20.105.000010.SER e Pini 20.105.000015.SER</t>
  </si>
  <si>
    <t>SF-01113</t>
  </si>
  <si>
    <t>ORSE 12416</t>
  </si>
  <si>
    <t>Raspagem, calafetagem, aplicação de synteko alto brilho em piso de madeira</t>
  </si>
  <si>
    <t>ORSE 13271</t>
  </si>
  <si>
    <t>SF-01114</t>
  </si>
  <si>
    <t>Sinapi 84181</t>
  </si>
  <si>
    <t>TACO DE MADEIRA PARA PISO, IPE (CERNE) OU EQUIVALENTE DA REGIAO, 7 X 42 CM, E = 2 CM</t>
  </si>
  <si>
    <t>Sinapi 6214</t>
  </si>
  <si>
    <t>COLA BRANCA BASE PVA</t>
  </si>
  <si>
    <t>Sinapi 11849</t>
  </si>
  <si>
    <t>SF-01115</t>
  </si>
  <si>
    <t>Sinapi 73876/1</t>
  </si>
  <si>
    <t>PISO DE BORRACHA FRISADO OU PASTILHADO, PRETO, EM PLACAS 50 X 50 CM, E = 7 MM, PARA ARGAMASSA</t>
  </si>
  <si>
    <t>Sinapi 4796</t>
  </si>
  <si>
    <t>SF-01116</t>
  </si>
  <si>
    <t>Piso sintético flutuante, laminado de alta resistência, superfície em overlay, substrato HDF-H, painel de fibras de madeira de alta densidade, e = 7 cm</t>
  </si>
  <si>
    <t>SF-01117</t>
  </si>
  <si>
    <t>Pini 11.101.000005.SER Adaptada</t>
  </si>
  <si>
    <t>Placa acústica perfilada, semi-rígida, de estrutura micro-celular, com dimensões de 625x625x25 mm, na cor natural (cinza claro)</t>
  </si>
  <si>
    <t>Pini 11.101.000005.SER</t>
  </si>
  <si>
    <t>SF-01118</t>
  </si>
  <si>
    <t>Placa acústica plana, semi-rígida, de estrutura micro-celular, com dimensões de 625x625x25 mm, na cor natural (cinza claro)</t>
  </si>
  <si>
    <t>SF-01119</t>
  </si>
  <si>
    <t>Sinapi 96109</t>
  </si>
  <si>
    <t>ARAME GALVANIZADO 18 BWG, D = 1,24MM (0,009 KG/M)</t>
  </si>
  <si>
    <t>Sinapi 345</t>
  </si>
  <si>
    <t>PLACA DE GESSO PARA FORRO, DE  *60 X 60* CM E ESPESSURA DE 12 MM (30 MM NAS BORDAS) SEM COLOCACAO</t>
  </si>
  <si>
    <t>Sinapi 4812</t>
  </si>
  <si>
    <t>SISAL EM FIBRA</t>
  </si>
  <si>
    <t>Sinapi 20250</t>
  </si>
  <si>
    <t>CENTO</t>
  </si>
  <si>
    <t>GESSEIRO COM ENCARGOS COMPLEMENTARES</t>
  </si>
  <si>
    <t>SF-01120</t>
  </si>
  <si>
    <t>Sinapi 95305</t>
  </si>
  <si>
    <t>MASSA PARA TEXTURA LISA DE BASE ACRILICA, USO INTERNO E EXTERNO</t>
  </si>
  <si>
    <t>Sinapi 38877</t>
  </si>
  <si>
    <t>SF-01121</t>
  </si>
  <si>
    <t>Sinapi 88489 Adaptada</t>
  </si>
  <si>
    <t>TINTA ACRILICA PREMIUM, COR BRANCO FOSCO</t>
  </si>
  <si>
    <t>Obs.: Acréscimo de 15% no coeficiente da tinta para suprir a diferença de preço da tinta branca para as tintas de cores especiais.</t>
  </si>
  <si>
    <t>SF-01122</t>
  </si>
  <si>
    <t>SF-01123</t>
  </si>
  <si>
    <t>SF-01124</t>
  </si>
  <si>
    <t>Sinapi 72815 Adaptada</t>
  </si>
  <si>
    <t>TINTA EPOXI PREMIUM, BRANCA</t>
  </si>
  <si>
    <t>Sinapi 72815</t>
  </si>
  <si>
    <t>Sinapi 7304</t>
  </si>
  <si>
    <t>PRIMER EPOXI</t>
  </si>
  <si>
    <t>GL</t>
  </si>
  <si>
    <t>Sinapi 100728</t>
  </si>
  <si>
    <t>Sinapi 11149</t>
  </si>
  <si>
    <t>SF-01125</t>
  </si>
  <si>
    <t>Sinapi 79466</t>
  </si>
  <si>
    <t>LIXA EM FOLHA PARA PAREDE OU MADEIRA, NUMERO 120 (COR VERMELHA)</t>
  </si>
  <si>
    <t>SOLVENTE DILUENTE A BASE DE AGUARRAS</t>
  </si>
  <si>
    <t>Sinapi 5318</t>
  </si>
  <si>
    <t>VERNIZ POLIURETANO BRILHANTE PARA MADEIRA, COM FILTRO SOLAR, USO INTERNO E EXTERNO</t>
  </si>
  <si>
    <t>Sinapi 10478</t>
  </si>
  <si>
    <t>SF-01126</t>
  </si>
  <si>
    <t>Carga inerte para tratamento antiderrapante em piso (ref.: Sikadur 512 ou 515)</t>
  </si>
  <si>
    <t>SF-01127</t>
  </si>
  <si>
    <t>Sinapi 100721 + Sinapi 100717</t>
  </si>
  <si>
    <t>Sinapi 100721</t>
  </si>
  <si>
    <t>PRIMER UNIVERSAL, FUNDO ANTICORROSIVO TIPO ZARCAO</t>
  </si>
  <si>
    <t>Sinapi 11174</t>
  </si>
  <si>
    <t>COMPRESSOR DE AR, VAZAO DE 10 PCM, RESERVATORIO 100 L, PRESSAO DE TRABALHO ENTRE 6,9 E 9,7 BAR  POTENCIA 2 HP, TENSAO 110/220 V  CHI DIURNO. AF_05/2017</t>
  </si>
  <si>
    <t>Sinapi 96308</t>
  </si>
  <si>
    <t>COMPRESSOR DE AR, VAZAO DE 10 PCM, RESERVATORIO 100 L, PRESSAO DE TRABALHO ENTRE 6,9 E 9,7 BAR, POTENCIA 2 HP, TENSAO 110/220 V - CHP DIURNO. AF_05/2017</t>
  </si>
  <si>
    <t>Sinapi 96309</t>
  </si>
  <si>
    <t>LIXA EM FOLHA PARA FERRO, NUMERO 150</t>
  </si>
  <si>
    <t>Sinapi 100717</t>
  </si>
  <si>
    <t>Sinapi 3768</t>
  </si>
  <si>
    <t>SF-01128</t>
  </si>
  <si>
    <t>SICRO 4915694 Adaptada</t>
  </si>
  <si>
    <t>SICRO 4915694</t>
  </si>
  <si>
    <t>Compressor de ar portátil de 71 PCM - 15 kW</t>
  </si>
  <si>
    <t>SICRO 4915714</t>
  </si>
  <si>
    <t>SICRO E9640</t>
  </si>
  <si>
    <t>Serra para corte de concreto e asfalto - 10 kW</t>
  </si>
  <si>
    <t>SICRO E9591</t>
  </si>
  <si>
    <t>Cordão de polietileno expandido</t>
  </si>
  <si>
    <t>SICRO M1131</t>
  </si>
  <si>
    <t>Disco diamantado - D = 350 mm</t>
  </si>
  <si>
    <t>SICRO M1385</t>
  </si>
  <si>
    <t>SELANTE A BASE DE ALCATRAO E POLIURETANO PARA JUNTAS HORIZONTAIS</t>
  </si>
  <si>
    <t>Sinapi 11622</t>
  </si>
  <si>
    <t>SF-01129</t>
  </si>
  <si>
    <t>Sinapi 92391 Adaptada</t>
  </si>
  <si>
    <t>Sinapi 92391</t>
  </si>
  <si>
    <t>PO DE PEDRA (POSTO PEDREIRA/FORNECEDOR, SEM FRETE)</t>
  </si>
  <si>
    <t>Sinapi 4741</t>
  </si>
  <si>
    <t>BLOQUETE/PISO DE CONCRETO - MODELO BLOCO PISOGRAMA/CONCREGRAMA 2 FUROS, DIMENSOES APROX. DE 35 CM X 15 CM E ESPESSURA DE 7 CM (+/- 1 CM), COR NATURAL</t>
  </si>
  <si>
    <t>Sinapi 40517</t>
  </si>
  <si>
    <t>CALCETEIRO COM ENCARGOS COMPLEMENTARES</t>
  </si>
  <si>
    <t>Sinapi 88260</t>
  </si>
  <si>
    <t>PLACA VIBRATÓRIA REVERSÍVEL COM MOTOR 4 TEMPOS A GASOLINA, FORÇA CENTRÍFUGA DE 25 KN (2500 KGF), POTÊNCIA 5,5 CV - CHI DIURNO. AF_08/2015</t>
  </si>
  <si>
    <t>Sinapi 91278</t>
  </si>
  <si>
    <t>CORTADORA DE PISO COM MOTOR 4 TEMPOS A GASOLINA, POTÊNCIA DE 13 HP, COM DISCO DE CORTE DIAMANTADO SEGMENTADO PARA CONCRETO, DIÂMETRO DE 350 MM, FURO DE 1" (14 X 1") - CHP DIURNO. AF_08/2015</t>
  </si>
  <si>
    <t>Sinapi 91283</t>
  </si>
  <si>
    <t>CORTADORA DE PISO COM MOTOR 4 TEMPOS A GASOLINA, POTÊNCIA DE 13 HP, COM DISCO DE CORTE DIAMANTADO SEGMENTADO PARA CONCRETO, DIÂMETRO DE 350 MM, FURO DE 1" (14 X 1") - CHI DIURNO. AF_08/2015</t>
  </si>
  <si>
    <t>Sinapi 91285</t>
  </si>
  <si>
    <t>Obs: considerando fornecedor de areia e brita a 20 km do Senado Federal</t>
  </si>
  <si>
    <t>SF-01130</t>
  </si>
  <si>
    <t>Pini 30.136.000351.SER Adaptada</t>
  </si>
  <si>
    <t>Pini 30.136.000351.SER</t>
  </si>
  <si>
    <t>ROLO COMPACTADOR DE PNEUS, ESTATICO, PRESSAO VARIAVEL, POTENCIA 110 HP, PESO SEM/COM LASTRO 10,8/27 T, LARGURA DE ROLAGEM 2,30 M - CHI DIURNO. AF_06/2017</t>
  </si>
  <si>
    <t>Sinapi 96464</t>
  </si>
  <si>
    <t>ROLO COMPACTADOR DE PNEUS, ESTATICO, PRESSAO VARIAVEL, POTENCIA 110 HP, PESO SEM/COM LASTRO 10,8/27 T, LARGURA DE ROLAGEM 2,30 M - CHP DIURNO. AF_06/2017</t>
  </si>
  <si>
    <t>Sinapi 96463</t>
  </si>
  <si>
    <t>ROLO COMPACTADOR VIBRATORIO TANDEM, ACO LISO, POTENCIA 125 HP, PESO SEM/COM LASTRO 10,20/11,65 T, LARGURA DE TRABALHO 1,73 M - CHP DIURNO. AF_11/2016</t>
  </si>
  <si>
    <t>Sinapi 95631</t>
  </si>
  <si>
    <t>ROLO COMPACTADOR VIBRATORIO TANDEM, ACO LISO, POTENCIA 125 HP, PESO SEM/COM LASTRO 10,20/11,65 T, LARGURA DE TRABALHO 1,73 M - CHI DIURNO. AF_11/2016</t>
  </si>
  <si>
    <t>Sinapi 95632</t>
  </si>
  <si>
    <t>TRATOR DE PNEUS, POTÊNCIA 85 CV, TRAÇÃO 4X4, PESO COM LASTRO DE 4.675 KG - CHI DIURNO. AF_06/2014</t>
  </si>
  <si>
    <t>Sinapi 89036</t>
  </si>
  <si>
    <t>TRATOR DE PNEUS, POTÊNCIA 85 CV, TRAÇÃO 4X4, PESO COM LASTRO DE 4.675 KG - CHP DIURNO. AF_06/2014</t>
  </si>
  <si>
    <t>Sinapi 89035</t>
  </si>
  <si>
    <t>VASSOURA MECÂNICA REBOCÁVEL COM ESCOVA CILÍNDRICA, LARGURA ÚTIL DE VARRIMENTO DE 2,44 M - CHI DIURNO. AF_06/2014</t>
  </si>
  <si>
    <t>Sinapi 5841</t>
  </si>
  <si>
    <t>VASSOURA MECÂNICA REBOCÁVEL COM ESCOVA CILÍNDRICA, LARGURA ÚTIL DE VARRIMENTO DE 2,44 M - CHP DIURNO. AF_06/2014</t>
  </si>
  <si>
    <t>Sinapi 5839</t>
  </si>
  <si>
    <t>VIBROACABADORA DE ASFALTO SOBRE ESTEIRAS, LARGURA DE PAVIMENTAÇÃO 1,90 M A 5,30 M, POTÊNCIA 105 HP CAPACIDADE 450 T/H - CHP DIURNO. AF_11/2014</t>
  </si>
  <si>
    <t>Sinapi 5835</t>
  </si>
  <si>
    <t>CAMINHÃO BASCULANTE 10 M3, TRUCADO, POTÊNCIA 230 CV, INCLUSIVE CAÇAMBA METÁLICA, COM DISTRIBUIDOR DE AGREGADOS ACOPLADO - CHP DIURNO. AF_02/2017</t>
  </si>
  <si>
    <t>Sinapi 96035</t>
  </si>
  <si>
    <t>Pini 30.136.000444.SER</t>
  </si>
  <si>
    <t>AREIA GROSSA - POSTO JAZIDA/FORNECEDOR (RETIRADO NA JAZIDA, SEM TRANSPORTE)</t>
  </si>
  <si>
    <t>Sinapi 367</t>
  </si>
  <si>
    <t>EMULSAO ASFALTICA CATIONICA RL-1C PARA USO EM PAVIMENTACAO ASFALTICA (COLETADO CAIXA NA ANP ACRESCIDO DE ICMS)</t>
  </si>
  <si>
    <t>T</t>
  </si>
  <si>
    <t>Sinapi 41904</t>
  </si>
  <si>
    <t>GRUPO GERADOR ESTACIONÁRIO, POTÊNCIA 150 KVA, MOTOR A DIESEL- CHP DIURNO. AF_03/2016</t>
  </si>
  <si>
    <t>Sinapi 93427</t>
  </si>
  <si>
    <t>PÁ CARREGADEIRA SOBRE RODAS, POTÊNCIA 197 HP, CAPACIDADE DA CAÇAMBA 2,5 A 3,5 M3, PESO OPERACIONAL 18338 KG - CHP DIURNO. AF_06/2014</t>
  </si>
  <si>
    <t>Sinapi 5944</t>
  </si>
  <si>
    <t>PÁ CARREGADEIRA SOBRE RODAS, POTÊNCIA 197 HP, CAPACIDADE DA CAÇAMBA 2,5 A 3,5 M3, PESO OPERACIONAL 18338 KG - CHI DIURNO. AF_06/2014</t>
  </si>
  <si>
    <t>Sinapi 5946</t>
  </si>
  <si>
    <t>USINA DE ASFALTO À FRIO, CAPACIDADE DE 40 A 60 TON/HORA, ELÉTRICA POTÊNCIA 30 CV - CHP DIURNO. AF_03/2016</t>
  </si>
  <si>
    <t>Sinapi 93439</t>
  </si>
  <si>
    <t>TANQUE DE ASFALTO ESTACIONÁRIO COM SERPENTINA, CAPACIDADE 30.000 L - CHP DIURNO. AF_06/2014</t>
  </si>
  <si>
    <t>Sinapi 7030</t>
  </si>
  <si>
    <t>SF-01131</t>
  </si>
  <si>
    <t>SICRO 4915678 Adaptada</t>
  </si>
  <si>
    <t>SICRO 4915678</t>
  </si>
  <si>
    <t>Compactador manual de placa vibratória - 3 kW - CHP</t>
  </si>
  <si>
    <t>SICRO E9556</t>
  </si>
  <si>
    <t>Compactador manual de placa vibratória - 3 kW - CHI</t>
  </si>
  <si>
    <t>Asfalto a frio ensacado</t>
  </si>
  <si>
    <t>SF-01132</t>
  </si>
  <si>
    <t>Sinapi 72947</t>
  </si>
  <si>
    <t>CAMINHÃO TOCO, PBT 16.000 KG, CARGA ÚTIL MÁX. 10.685 KG, DIST. ENTRE EIXOS 4,8 M, POTÊNCIA 189 CV, INCLUSIVE CARROCERIA FIXA ABERTA DE MADEIRA P/ TRANSPORTE GERAL DE CARGA SECA, DIMEN. APROX. 2,5 X 7,00 X 0,50 M - CHP DIURNO. AF_06/2014</t>
  </si>
  <si>
    <t>Sinapi 5824</t>
  </si>
  <si>
    <t>TINTA A BASE DE RESINA ACRILICA, PARA SINALIZACAO HORIZONTAL VIARIA (NBR 11862)</t>
  </si>
  <si>
    <t>Sinapi 7343</t>
  </si>
  <si>
    <t>MICROESFERAS DE VIDRO PARA SINALIZACAO HORIZONTAL VIARIA, TIPO I-B (PREMIX) - NBR 16184</t>
  </si>
  <si>
    <t>Sinapi 25972</t>
  </si>
  <si>
    <t>MÁQUINA DEMARCADORA DE FAIXA DE TRÁFEGO À FRIO, AUTOPROPELIDA, POTÊNCIA 38 HP - CHP DIURNO. AF_07/2016</t>
  </si>
  <si>
    <t>Sinapi 95133</t>
  </si>
  <si>
    <t>SF-01133</t>
  </si>
  <si>
    <t>Sinapi 94213 Adaptada</t>
  </si>
  <si>
    <t>Telha metálica trapezoidal galvanizada GR 40 com espessura de 0,43 mm, com largura de 1020 mm e comprimento de 5 metros</t>
  </si>
  <si>
    <t>Sinapi 94213</t>
  </si>
  <si>
    <t>HASTE RETA PARA GANCHO DE FERRO GALVANIZADO, COM ROSCA 1/4 " X 30 CM PARA FIXACAO DE TELHA METALICA, INCLUI PORCA E ARRUELAS DE VEDACAO</t>
  </si>
  <si>
    <t>Sinapi 11029</t>
  </si>
  <si>
    <t>TELHADISTA COM ENCARGOS COMPLEMENTARES</t>
  </si>
  <si>
    <t>Sinapi 88323</t>
  </si>
  <si>
    <t>GUINCHO ELÉTRICO DE COLUNA, CAPACIDADE 400 KG, COM MOTO FREIO, MOTOR TRIFÁSICO DE 1,25 CV - CHP DIURNO. AF_03/2016</t>
  </si>
  <si>
    <t>Sinapi 93281</t>
  </si>
  <si>
    <t>GUINCHO ELÉTRICO DE COLUNA, CAPACIDADE 400 KG, COM MOTO FREIO, MOTOR TRIFÁSICO DE 1,25 CV - CHI DIURNO. AF_03/2016</t>
  </si>
  <si>
    <t>Sinapi 93282</t>
  </si>
  <si>
    <t>SF-01134</t>
  </si>
  <si>
    <t>Sinapi 94223 Adaptada</t>
  </si>
  <si>
    <t>Cumeeira metálica galvanizada GR 40 com espessura de 0,43 mm, com largura de 1020 mm e comprimento de 5 metro.</t>
  </si>
  <si>
    <t>Sinapi 94223</t>
  </si>
  <si>
    <t>SF-01135</t>
  </si>
  <si>
    <t>Telha metálica trapezoidal galvanizada GR 25 com espessura de 0,43 mm, com largura de 1020 mm e comprimento de 5 metros.</t>
  </si>
  <si>
    <t>SF-01136</t>
  </si>
  <si>
    <t>Cumeeira metálica galvanizada GR 25 com espessura de 0,43 mm, com largura de 1020 mm e comprimento de 5 metro.</t>
  </si>
  <si>
    <t>SF-01137</t>
  </si>
  <si>
    <t>Pini 09.105.000280.SER Adaptada</t>
  </si>
  <si>
    <t>Pini 09.105.000280.SER</t>
  </si>
  <si>
    <t>Conjunto de vedação elástica para furo Ø 8 mm</t>
  </si>
  <si>
    <t>Pini 09.105.000280.MAT</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</si>
  <si>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</si>
  <si>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</si>
  <si>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</si>
  <si>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</si>
  <si>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</si>
  <si>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Pini 09.105.000200.SER Adaptada</t>
  </si>
  <si>
    <t>Pini 09.105.000200.MAT</t>
  </si>
  <si>
    <t>Cumeeira articulada superior para telha de fibrocimento modulada ou onda 50</t>
  </si>
  <si>
    <t>SF-01139</t>
  </si>
  <si>
    <t>Pini 09.105.000200.SER</t>
  </si>
  <si>
    <t>Cumeeira articulada inferior para telha de fibrocimento tipo modulada ou onda 50</t>
  </si>
  <si>
    <t>SF-01140</t>
  </si>
  <si>
    <t>Sinapi 94207</t>
  </si>
  <si>
    <t>CONJUNTO ARRUELAS DE VEDACAO 5/16" PARA TELHA FIBROCIMENTO (UMA ARRUELA METALICA E UMA ARRUELA PVC - CONICAS)</t>
  </si>
  <si>
    <t>Sinapi 1607</t>
  </si>
  <si>
    <t>PARAFUSO ZINCADO ROSCA SOBERBA, CABECA SEXTAVADA, 5/16 " X 250 MM, PARA FIXACAO DE TELHA EM MADEIRA</t>
  </si>
  <si>
    <t>Sinapi 4302</t>
  </si>
  <si>
    <t>TELHA DE FIBROCIMENTO ONDULADA E = 6 MM, DE 2,44 X 1,10 M (SEM AMIANTO)</t>
  </si>
  <si>
    <t>Sinapi 7194</t>
  </si>
  <si>
    <t>SF-01141</t>
  </si>
  <si>
    <t>CUMEEIRA UNIVERSAL PARA TELHA ONDULADA DE FIBROCIMENTO, E = 6 MM, ABA 210 MM, COMPRIMENTO 1100 MM (SEM AMIANTO)</t>
  </si>
  <si>
    <t>Sinapi 7219</t>
  </si>
  <si>
    <t>SF-01142</t>
  </si>
  <si>
    <t>Sinapi 100325</t>
  </si>
  <si>
    <t>CUMEEIRA SHED PARA TELHA ONDULADA DE FIBROCIMENTO, E = 6 MM, ABA 280 MM, COMPRIMENTO 1100 MM (SEM AMIANTO)</t>
  </si>
  <si>
    <t>Sinapi 7214</t>
  </si>
  <si>
    <t>SF-01143</t>
  </si>
  <si>
    <t>Pini 09.105.000225.SER Adaptada</t>
  </si>
  <si>
    <t>Pini 09.105.000225.SER</t>
  </si>
  <si>
    <t>Pini 09.105.000225.MAT</t>
  </si>
  <si>
    <t>Cumeeira para telha de fibrocimento tipo canalete 49 e kalheta 49</t>
  </si>
  <si>
    <t>Parafuso rosca soberba galvanizado Ø 8 mm x 250 mm</t>
  </si>
  <si>
    <t>SF-01147</t>
  </si>
  <si>
    <t>Sinapi 73665 Adaptada</t>
  </si>
  <si>
    <t>Sinapi 73665</t>
  </si>
  <si>
    <t>FUNDO ANTICORROSIVO PARA METAIS FERROSOS (ZARCAO)</t>
  </si>
  <si>
    <t>Sinapi 7307</t>
  </si>
  <si>
    <t>ORSE 6069</t>
  </si>
  <si>
    <t>SF-01148</t>
  </si>
  <si>
    <t>SF-01149</t>
  </si>
  <si>
    <t>Pini 05.108.000680.SER Adaptada</t>
  </si>
  <si>
    <t>Pini 05.108.000680.SER</t>
  </si>
  <si>
    <t>Lava-jato água fria pressão 1700 psi</t>
  </si>
  <si>
    <t>loc/un/h</t>
  </si>
  <si>
    <t>Pini 05.108.000680.MAT</t>
  </si>
  <si>
    <t>Solução limpadora diluída em água</t>
  </si>
  <si>
    <t>SF-01150</t>
  </si>
  <si>
    <t>Sinapi 89681 + Sinapi 89580 Adaptada</t>
  </si>
  <si>
    <t>ANEL BORRACHA, DN 150 MM, PARA TUBO SERIE REFORCADA ESGOTO PREDIAL</t>
  </si>
  <si>
    <t>Sinapi 89681</t>
  </si>
  <si>
    <t>Sinapi 300</t>
  </si>
  <si>
    <t>REDUCAO EXCENTRICA PVC, SERIE R, DN 150 X 100 MM, PARA ESGOTO PREDIAL</t>
  </si>
  <si>
    <t>Sinapi 20047</t>
  </si>
  <si>
    <t>PASTA LUBRIFICANTE PARA TUBOS E CONEXOES COM JUNTA ELASTICA (USO EM PVC, ACO, POLIETILENO E OUTROS) ( DE *400* G)</t>
  </si>
  <si>
    <t>ADESIVO PLASTICO PARA PVC, FRASCO COM 850 GR</t>
  </si>
  <si>
    <t>Sinapi 89580</t>
  </si>
  <si>
    <t>TUBO PVC, SERIE R, DN 150 MM, PARA ESGOTO OU AGUAS PLUVIAIS PREDIAL (NBR 5688)</t>
  </si>
  <si>
    <t>Sinapi 9840</t>
  </si>
  <si>
    <t>SOLUCAO LIMPADORA PARA PVC, FRASCO COM 1000 CM3</t>
  </si>
  <si>
    <t>RALO FOFO SEMIESFERICO, 150 MM, PARA LAJES/ CALHAS</t>
  </si>
  <si>
    <t>Sinapi 11709</t>
  </si>
  <si>
    <t>SF-01151</t>
  </si>
  <si>
    <t>SF-01152</t>
  </si>
  <si>
    <t>Sinapi 87630 Adaptada</t>
  </si>
  <si>
    <t>Sinapi 87630</t>
  </si>
  <si>
    <t>ADITIVO ADESIVO LIQUIDO PARA ARGAMASSAS DE REVESTIMENTOS CIMENTICIOS</t>
  </si>
  <si>
    <t>ARGAMASSA TRAÇO 1:4 (EM VOLUME DE CIMENTO E AREIA MÉDIA ÚMIDA) PARA CONTRAPISO, PREPARO MECÂNICO COM BETONEIRA 400 L. AF_08/2019</t>
  </si>
  <si>
    <t>Sinapi 87301 Adaptada</t>
  </si>
  <si>
    <t>SF-01153</t>
  </si>
  <si>
    <t>Sinapi 87700 Adaptada</t>
  </si>
  <si>
    <t>Sinapi 87700</t>
  </si>
  <si>
    <t>SF-01154</t>
  </si>
  <si>
    <t>PINI 10.103.000015.SER Adaptada</t>
  </si>
  <si>
    <t>PINI 10.103.000015.SER</t>
  </si>
  <si>
    <t>GEOTEXTIL NAO TECIDO AGULHADO DE FILAMENTOS CONTINUOS 100% POLIESTER, RESITENCIA A TRACAO = 10 KN/M</t>
  </si>
  <si>
    <t>Sinapi 4011</t>
  </si>
  <si>
    <t>SF-01155</t>
  </si>
  <si>
    <t>POLIESTIRENO EXPANDIDO/EPS (ISOPOR), TIPO 2F, PLACA, ISOLAMENTO TERMOACUSTICO, E = 20 MM, 1000 X 500 MM</t>
  </si>
  <si>
    <t>Sinapi 3408</t>
  </si>
  <si>
    <t>SF-01156</t>
  </si>
  <si>
    <t>Sinapi 87620 Adaptada</t>
  </si>
  <si>
    <t>SF-01157</t>
  </si>
  <si>
    <t>Sinapi 98567 Adaptada</t>
  </si>
  <si>
    <t>Sinapi 98567</t>
  </si>
  <si>
    <t>SF-01158</t>
  </si>
  <si>
    <t>Sinapi 73978/1 Adaptada</t>
  </si>
  <si>
    <t>Pintura inibidora de raízes</t>
  </si>
  <si>
    <t>Sinapi 73978/1</t>
  </si>
  <si>
    <t>SF-01159</t>
  </si>
  <si>
    <t>Geocomposto Drenante industrializado formado por estrutura drenante de pelo menos 10 mm</t>
  </si>
  <si>
    <t>SF-01160</t>
  </si>
  <si>
    <t>Sinapi 94229</t>
  </si>
  <si>
    <t>PREGO DE ACO POLIDO COM CABECA 18 X 27 (2 1/2 X 10)</t>
  </si>
  <si>
    <t>REBITE DE ALUMINIO VAZADO DE REPUXO, 3,2 X 8 MM (1KG = 1025 UNIDADES)</t>
  </si>
  <si>
    <t>Sinapi 5104</t>
  </si>
  <si>
    <t>SOLDA EM BARRA DE ESTANHO-CHUMBO 50/50</t>
  </si>
  <si>
    <t>Sinapi 13388</t>
  </si>
  <si>
    <t>CALHA QUADRADA DE CHAPA DE ACO GALVANIZADA NUM 24, CORTE 100 CM</t>
  </si>
  <si>
    <t>Sinapi 40784</t>
  </si>
  <si>
    <t>SF-01161</t>
  </si>
  <si>
    <t>Sinapi 94231 Adaptada</t>
  </si>
  <si>
    <t>Sinapi 94231</t>
  </si>
  <si>
    <t>RUFO INTERNO/EXTERNO DE CHAPA DE ACO GALVANIZADA NUM 24, CORTE 25 CM</t>
  </si>
  <si>
    <t>Sinapi 40873</t>
  </si>
  <si>
    <t>SF-01163</t>
  </si>
  <si>
    <t>SEINFRA C0773 Adaptada</t>
  </si>
  <si>
    <t>SEINFRA C0773</t>
  </si>
  <si>
    <t>ACO CA-50, 10,0 MM, OU 12,5 MM, OU 16,0 MM, OU 20,0 MM, DOBRADO E CORTADO</t>
  </si>
  <si>
    <t>Sinapi 43058</t>
  </si>
  <si>
    <t>Chapa de madeira compensada resinada 1,10 x 2,20 m # 10 mm</t>
  </si>
  <si>
    <t>Pini 02.101.000056.MAT</t>
  </si>
  <si>
    <t>BETONEIRA CAPACIDADE NOMINAL DE 600 L, CAPACIDADE DE MISTURA 360 L, MOTOR ELÉTRICO TRIFÁSICO POTÊNCIA DE 4 CV, SEM CARREGADOR - CHP DIURNO. AF_11/2014</t>
  </si>
  <si>
    <t>Sinapi 89225</t>
  </si>
  <si>
    <t>PREGO DE ACO POLIDO COM CABECA 17 X 21 (2 X 11)</t>
  </si>
  <si>
    <t>Sinapi 5068</t>
  </si>
  <si>
    <t>SF-01164</t>
  </si>
  <si>
    <t>Sinapi 91594 Adaptada</t>
  </si>
  <si>
    <t>TELA DE ACO SOLDADA NERVURADA, CA-60, Q-92, (1,48 KG/M2), DIAMETRO DO FIO = 4,2 MM, LARGURA = 2,45 X 60 M DE COMPRIMENTO, ESPACAMENTO DA MALHA = 15  X 15 CM</t>
  </si>
  <si>
    <t>Sinapi 91594</t>
  </si>
  <si>
    <t>Sinapi 21141</t>
  </si>
  <si>
    <t>SF-01165</t>
  </si>
  <si>
    <t>Sinapi 92580</t>
  </si>
  <si>
    <t>PARAFUSO, COMUM, ASTM A307, SEXTAVADO, DIAMETRO 1/2" (12,7 MM), COMPRIMENTO 1" (25,4 MM)</t>
  </si>
  <si>
    <t>Sinapi 40549</t>
  </si>
  <si>
    <t>PERFIL "U" ENRIJECIDO DE ACO GALVANIZADO, DOBRADO, 150 X 60 X 20 MM, E = 3,00 MM OU 200 X 75 X 25 MM, E = 3,75 MM</t>
  </si>
  <si>
    <t>Sinapi 43083</t>
  </si>
  <si>
    <t>SF-01166</t>
  </si>
  <si>
    <t>Pìni 24.106.000050.SER Adaptada</t>
  </si>
  <si>
    <t>Pìni 24.106.000050.SER</t>
  </si>
  <si>
    <t>Revestimento impermabilizante bloqueador de umidade composto de resina acrílica, pigmentos inorgânicos, cargas minerais, cimento Portland, aditivos, hidrocarbonetos aromáticos e alifáticos</t>
  </si>
  <si>
    <t>Obs: considerando rendimento informado na especificação técnica do produto indicado como referência comercial (Lata de 3,6L rende até 3 demãos, com 25 m²/demão).</t>
  </si>
  <si>
    <t>SF-01167</t>
  </si>
  <si>
    <t>Tinta aluminizada de base asfáltica</t>
  </si>
  <si>
    <t>Pini 10.102.000025.SER</t>
  </si>
  <si>
    <t>Pini 10.102.000025.MAT</t>
  </si>
  <si>
    <t>SF-01168</t>
  </si>
  <si>
    <t>Pini 05.104.000315.SER Adaptada</t>
  </si>
  <si>
    <t>Pini 05.104.000315.SER</t>
  </si>
  <si>
    <t>POLIESTIRENO EXPANDIDO/EPS (ISOPOR), PEROLAS, PARA CONCRETO LEVE</t>
  </si>
  <si>
    <t>Sinapi 3411</t>
  </si>
  <si>
    <t>Obs: considerando fornecedor de areia a 20 km do Senado Federal</t>
  </si>
  <si>
    <t>SF-01169</t>
  </si>
  <si>
    <t>Sinapi 98557 Adaptada</t>
  </si>
  <si>
    <t>PRIMER PARA MANTA ASFALTICA A BASE DE ASFALTO MODIFICADO DILUIDO EM SOLVENTE, APLICACAO A FRIO</t>
  </si>
  <si>
    <t>Sinapi 511</t>
  </si>
  <si>
    <t>AJUDANTE ESPECIALIZADO COM ENCARGOS COMPLEMENTARES</t>
  </si>
  <si>
    <t>Obs: Adotou-se o consumo de 350 mL/m², conforme recomendação do fabricante do produto para aplicação homogênea.</t>
  </si>
  <si>
    <t>http://vedacit.com.br/produtos/primer-eco-vedacit</t>
  </si>
  <si>
    <t>SF-01170</t>
  </si>
  <si>
    <t>Sinapi 98553</t>
  </si>
  <si>
    <t>MEMBRANA IMPERMEABILIZANTE A BASE DE POLIURETANO</t>
  </si>
  <si>
    <t>Sinapi 43148</t>
  </si>
  <si>
    <t>SF-01171</t>
  </si>
  <si>
    <t>Sinapi 98546 Adaptada</t>
  </si>
  <si>
    <t>Sinapi 98546</t>
  </si>
  <si>
    <t>MANTA ASFALTICA ELASTOMERICA EM POLIESTER 4 MM, TIPO III, CLASSE B, ACABAMENTO PP (NBR 9952)</t>
  </si>
  <si>
    <t>Sinapi 4015</t>
  </si>
  <si>
    <t>GAS DE COZINHA - GLP</t>
  </si>
  <si>
    <t>Sinapi 4226</t>
  </si>
  <si>
    <t>SF-01172</t>
  </si>
  <si>
    <t>Manta asfáltica aluminizada</t>
  </si>
  <si>
    <t>Pini 10.104.000005.MAT</t>
  </si>
  <si>
    <t>SF-01173</t>
  </si>
  <si>
    <t>Pini 10.102.000035.SER Adaptada</t>
  </si>
  <si>
    <t>Pini 10.102.000035.SER</t>
  </si>
  <si>
    <t>Emulsão hidro-asfáltica</t>
  </si>
  <si>
    <t>Pini 10.102.000035.MAT</t>
  </si>
  <si>
    <t>Tinta betuminosa</t>
  </si>
  <si>
    <t>Manta butílica # 0,8 mm</t>
  </si>
  <si>
    <t>Fita de caldeação para manta butilíca largura 50 mm # 3 mm</t>
  </si>
  <si>
    <t>Adesivo auto vulcanizante para manta butilíca</t>
  </si>
  <si>
    <t>SF-01174</t>
  </si>
  <si>
    <t>Sinapi 98554</t>
  </si>
  <si>
    <t>MEMBRANA IMPERMEABILIZANTE ACRILICA MONOCOMPONENTE</t>
  </si>
  <si>
    <t>Sinapi 43147</t>
  </si>
  <si>
    <t>SF-01175</t>
  </si>
  <si>
    <t>Asfalto elastomérico</t>
  </si>
  <si>
    <t>*Adotou-se o consumo de 2 kg/m², valor intermediário da recomendação do fabricante do produto.</t>
  </si>
  <si>
    <t>http://www.denverimper.com.br/files/produtos/0000001-0000500/122/e5fe48d2b8810574e94921c5fb6cea0c.pdf</t>
  </si>
  <si>
    <t>SF-01176</t>
  </si>
  <si>
    <t>Sinapi 98547</t>
  </si>
  <si>
    <t>MANTA ASFALTICA ELASTOMERICA EM POLIESTER 3 MM, TIPO III, CLASSE B, ACABAMENTO PP (NBR 9952)</t>
  </si>
  <si>
    <t>Sinapi 4014</t>
  </si>
  <si>
    <t>SF-01177</t>
  </si>
  <si>
    <t>Sinapi 98547 Adaptada</t>
  </si>
  <si>
    <t>SF-01179</t>
  </si>
  <si>
    <t>ADITIVO LIQUIDO INCORPORADOR DE AR PARA CONCRETO E ARGAMASSA, LIQUIDO E ISENTO DE CLORETOS</t>
  </si>
  <si>
    <t>Sinapi 133</t>
  </si>
  <si>
    <t>Obs: considerando 1,01 L/kg, conforme especificado na ficha técnica do produto indicado como referência comercial.</t>
  </si>
  <si>
    <t>SF-01180</t>
  </si>
  <si>
    <t>Obs: considerando fornecedor de brita a 20 km do Senado Federal</t>
  </si>
  <si>
    <t>SF-01232</t>
  </si>
  <si>
    <t>Pini 22.145.000025.SER</t>
  </si>
  <si>
    <t>Cola de contato a base d'água</t>
  </si>
  <si>
    <t>Adjuvante para argamassa base PVA</t>
  </si>
  <si>
    <t>Carpete aveludado azul royal, para uso comercial, adequado para tráfego pesado, conforme especificações técnicas.</t>
  </si>
  <si>
    <t>SF-01233</t>
  </si>
  <si>
    <t>COMPOSIÇÕES DE CUSTO UNITÁRIO AUXILIARES DE 1º NÍVEL</t>
  </si>
  <si>
    <t>TOTAL</t>
  </si>
  <si>
    <t>Sinapi 88629</t>
  </si>
  <si>
    <t>Servente com encargos complementares</t>
  </si>
  <si>
    <t>Encanador ou bombeiro hidráulico com encargos complementares</t>
  </si>
  <si>
    <t>Abracadeira em aco para amarracao de eletrodutos, tipo D, com 1/2" e parafuso de fixacao</t>
  </si>
  <si>
    <t>Sinapi 392</t>
  </si>
  <si>
    <t>Chapa de madeira compensada resinada para forma de concreto, de *2,2 x 1,1* m, e = 17 mm</t>
  </si>
  <si>
    <t>SARRAFO DE MADEIRA NAO APARELHADA *2,5 X 7,5* CM (1 X 3 ") PINUS, MISTA OU EQUIVALENTE DA REGIAO</t>
  </si>
  <si>
    <t>Sinapi 4517</t>
  </si>
  <si>
    <t>Prego de aco polido com cabeca 17 x 21 (2 x 11)</t>
  </si>
  <si>
    <t>Serra circular de bancada com motor elétrico potência de 5HP, com coifa para disco 10" - CHP diurno. af_08/2015</t>
  </si>
  <si>
    <t>Serra circular de bancada com motor elétrico potência de 5HP, com coifa para disco 10" - CHI diurno. af_08/2015</t>
  </si>
  <si>
    <t>Chapa de madeira compensada plastificada para forma de concreto, de 2,20 x 1,10 m, e = 18 mm</t>
  </si>
  <si>
    <t>Sinapi 1345</t>
  </si>
  <si>
    <t>Sinapi 87292</t>
  </si>
  <si>
    <t>Cal hidratada CH-I para argamassas</t>
  </si>
  <si>
    <t>Sinapi 1106</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</si>
  <si>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</si>
  <si>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</si>
  <si>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Sinapi 87377</t>
  </si>
  <si>
    <t>Areia grossa - posto jazida/fornecedor (retirado na jazida, sem transporte)</t>
  </si>
  <si>
    <t>Argamassa industrializada para chapisco colante</t>
  </si>
  <si>
    <t>Sinapi 37553</t>
  </si>
  <si>
    <t>Misturador de argamassa, eixo horizontal, capacidade de mistura 300 kg, motor elétrico potência 5 cv - CHP diurno. af_06/2014</t>
  </si>
  <si>
    <t>Sinapi 88386</t>
  </si>
  <si>
    <t>Misturador de argamassa, eixo horizontal, capacidade de mistura 300 kg, motor elétrico potência 5 cv - CHI diurno. af_06/2014</t>
  </si>
  <si>
    <t>Sinapi 88392</t>
  </si>
  <si>
    <t>Sinapi 87373</t>
  </si>
  <si>
    <t>Sinapi 88631</t>
  </si>
  <si>
    <t>Luva para eletroduto, em aco galvanizado eletrolitico, diametro de 20 mm (3/4")</t>
  </si>
  <si>
    <t>Sinapi 2637</t>
  </si>
  <si>
    <t>Luva para eletroduto, em aco galvanizado eletrolitico, diametro de 25 mm (1")</t>
  </si>
  <si>
    <t>Sinapi 2638</t>
  </si>
  <si>
    <t>Luva para eletroduto, em aco galvanizado eletrolitico, diametro de 32 mm (1 1/4")</t>
  </si>
  <si>
    <t>Sinapi 2639</t>
  </si>
  <si>
    <t>Luva para eletroduto, em aco galvanizado eletrolitico, diametro de 40 mm (1 1/2")</t>
  </si>
  <si>
    <t>Sinapi 2644</t>
  </si>
  <si>
    <t>Luva para eletroduto, em aco galvanizado eletrolitico, diametro de 50 mm (2")</t>
  </si>
  <si>
    <t>Sinapi 2643</t>
  </si>
  <si>
    <t>Fixação de tubos verticais de PPR diâmetros maiores que 40 mm e menores ou iguais a 75 mm com abraçadeira metálica rígida tipo D 2", fixada em perfilado em alvenaria. af_05/2015</t>
  </si>
  <si>
    <t>Sinapi 91174</t>
  </si>
  <si>
    <t>Abracadeira em aco para amarracao de eletrodutos, tipo D, com 2" e parafuso de fixacao</t>
  </si>
  <si>
    <t>Sinapi 396</t>
  </si>
  <si>
    <t>Sinapi 87294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</si>
  <si>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</si>
  <si>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</si>
  <si>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Sinapi 89226</t>
  </si>
  <si>
    <t>Sinapi 87301</t>
  </si>
  <si>
    <t>ACO CA-50, 20,0 MM OU 25,0 MM, VERGALHAO</t>
  </si>
  <si>
    <t>Sinapi 43056</t>
  </si>
  <si>
    <t>Vibrador de imersão, diâmetro de ponteira 45mm, motor elétrico trifásico potência de 2 CV - CHP diurno. AF_06/2015</t>
  </si>
  <si>
    <t>Vibrador de imersão, diâmetro de ponteira 45mm, motor elétrico trifásico potência de 2 CV - CHI diurno. AF_06/2015</t>
  </si>
  <si>
    <t>Sinapi 94970</t>
  </si>
  <si>
    <t>OPERADOR DE BETONEIRA ESTACIONÁRIA/MISTURADOR COM ENCARGOS COMPLEMENTARES</t>
  </si>
  <si>
    <t>BETONEIRA CAPACIDADE NOMINAL DE 600 L, CAPACIDADE DE MISTURA 360 L, MOTOR ELÉTRICO TRIFÁSICO POTÊNCIA DE 4 CV, SEM CARREGADOR - CHI DIURNO. AF_11/2014</t>
  </si>
  <si>
    <t>Sinapi 90280</t>
  </si>
  <si>
    <t>CAL HIDRATADA CH-I PARA ARGAMASSAS</t>
  </si>
  <si>
    <t>Sinapi 87372</t>
  </si>
  <si>
    <t>BATENTE/ PORTAL/ ADUELA/ MARCO MACICO, E= *3 CM, L= *13 CM, *60 CM A 120* CM X *210 CM,  EM CEDRINHO/ ANGELIM COMERCIAL/ EUCALIPTO/ CURUPIXA/ PEROBA/ CUMARU OU EQUIVALENTE DA REGIAO (NAO INCLUI ALIZARES)</t>
  </si>
  <si>
    <t>JG</t>
  </si>
  <si>
    <t>Sinapi 183</t>
  </si>
  <si>
    <t>PREGO DE ACO POLIDO COM CABECA 12 X 12</t>
  </si>
  <si>
    <t>Sinapi 5066</t>
  </si>
  <si>
    <t>CORTE E DOBRA DE AÇO CA-60, DIÂMETRO DE 4,2 MM, UTILIZADO EM LAJE. AF_12/2015</t>
  </si>
  <si>
    <t>Sinapi 92799</t>
  </si>
  <si>
    <t>Sinapi 94969</t>
  </si>
  <si>
    <t>Sinapi 94968</t>
  </si>
  <si>
    <t>Sinapi 87316</t>
  </si>
  <si>
    <t>Contrapiso em argamassa traço 1:4 (cimento e areia), preparo mecânico com betoneira 400 l, aplicado em áreas secas sobre laje, aderido, espessura 3cm. AF_06/2014</t>
  </si>
  <si>
    <t>Fixação de tubos verticais de PPR diâmetros maiores que 40 mm e menores ou iguais a 75 mm com abraçadeira metálica rígida tipo D 1 1/2", fixada em perfilado em alvenaria. af_05/2015</t>
  </si>
  <si>
    <t>Abracadeira em aco para amarracao de eletrodutos, tipo D, com 1 1/2" e parafuso de fixacao</t>
  </si>
  <si>
    <t>Sinapi 394</t>
  </si>
  <si>
    <t>CONCRETO MAGRO PARA LASTRO, TRAÇO 1:4,5:4,5 (CIMENTO/ AREIA MÉDIA/ BRITA 1)  - PREPARO MECÂNICO COM BETONEIRA 400 L. AF_07/2016</t>
  </si>
  <si>
    <t>Sinapi 94962 Adaptada</t>
  </si>
  <si>
    <t>Sinapi 94962</t>
  </si>
  <si>
    <t>TRANSPORTE COMERCIAL COM CAMINHAO CARROCERIA 9 T, RODOVIA PAVIMENTADA</t>
  </si>
  <si>
    <t>Sinapi 72840</t>
  </si>
  <si>
    <t>ARGAMASSA TRAÇO 1:0,5:4,5 (EM VOLUME DE CIMENTO, CAL E AREIA MÉDIA ÚMIDA) PARA ASSENTAMENTO DE ALVENARIA, PREPARO MANUAL. AF_08/2019</t>
  </si>
  <si>
    <t>Sinapi 88627 Adaptada</t>
  </si>
  <si>
    <t>Sinapi 88627</t>
  </si>
  <si>
    <t>ACO CA-60, 4,2 MM, OU 5,0 MM, OU 6,0 MM, OU 7,0 MM, VERGALHAO</t>
  </si>
  <si>
    <t>Sinapi 43059</t>
  </si>
  <si>
    <t>COMPOSIÇÕES DE CUSTO UNITÁRIO AUXILIARES DE 2º NÍVEL</t>
  </si>
  <si>
    <t>TRANSPORTE COM CAMINHÃO BASCULANTE DE 6 M3, EM VIA URBANA PAVIMENTADA, DMT ATÉ 30 KM (UNIDADE: M3XKM). AF_01/2018</t>
  </si>
  <si>
    <t>Obs.2: Inclusão de composições (abertas) Sinapi 72888 e 97914.</t>
  </si>
  <si>
    <t>PLANILHA ORÇAMENTÁRIA</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</si>
  <si>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</si>
  <si>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</si>
  <si>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</si>
  <si>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</si>
  <si>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</si>
  <si>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</si>
  <si>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</si>
  <si>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</si>
  <si>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</si>
  <si>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</si>
  <si>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</si>
  <si>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</si>
  <si>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</si>
  <si>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 de gesso</t>
  </si>
  <si>
    <t>Demolição de infraestrutura elétrica (eletrodutos, eletrocalhas, cabos)</t>
  </si>
  <si>
    <t>Demolição de revestimento cerâmico, granito, mármore ou granitina</t>
  </si>
  <si>
    <t>Demolição de revestimento em argamassa</t>
  </si>
  <si>
    <t>Demolição de tubulação hidrossanitária embutida com conexões e acessórios</t>
  </si>
  <si>
    <t>Demolição em concreto armado</t>
  </si>
  <si>
    <t>SF-00015</t>
  </si>
  <si>
    <t>Locação de caçambas</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</si>
  <si>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</si>
  <si>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</si>
  <si>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</si>
  <si>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</si>
  <si>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</si>
  <si>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</si>
  <si>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</si>
  <si>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</si>
  <si>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</si>
  <si>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</si>
  <si>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</si>
  <si>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</si>
  <si>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</si>
  <si>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t>
  </si>
  <si>
    <t>Remoção de laminado melamínico (LDAP), em PVC ou vinílico</t>
  </si>
  <si>
    <t>Remoção de louças</t>
  </si>
  <si>
    <t>Remoção de luminária</t>
  </si>
  <si>
    <t>Remoção de metais e acessórios</t>
  </si>
  <si>
    <t>Remoção de painéis de vidro temperado</t>
  </si>
  <si>
    <t>Remoção de película</t>
  </si>
  <si>
    <t>Remoção de persianas</t>
  </si>
  <si>
    <t>Remoção de pintura ou textura</t>
  </si>
  <si>
    <t>Remoção de placas de forro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</si>
  <si>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</si>
  <si>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</si>
  <si>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</si>
  <si>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</si>
  <si>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</si>
  <si>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</si>
  <si>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</si>
  <si>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</si>
  <si>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</si>
  <si>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</si>
  <si>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</si>
  <si>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</si>
  <si>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</si>
  <si>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</si>
  <si>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</si>
  <si>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</si>
  <si>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</si>
  <si>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</si>
  <si>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</si>
  <si>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</si>
  <si>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</si>
  <si>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</si>
  <si>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</si>
  <si>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</si>
  <si>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</si>
  <si>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</si>
  <si>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</si>
  <si>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</si>
  <si>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</si>
  <si>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</si>
  <si>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</si>
  <si>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</si>
  <si>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</si>
  <si>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</si>
  <si>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</si>
  <si>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</si>
  <si>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</si>
  <si>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</si>
  <si>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</si>
  <si>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</si>
  <si>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</si>
  <si>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</si>
  <si>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</si>
  <si>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</si>
  <si>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</si>
  <si>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</si>
  <si>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</si>
  <si>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</si>
  <si>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</si>
  <si>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</si>
  <si>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</si>
  <si>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</si>
  <si>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para linha de vida</t>
  </si>
  <si>
    <t>Tapume</t>
  </si>
  <si>
    <t>SF-00071</t>
  </si>
  <si>
    <t>Trole para linha de vida horizontal</t>
  </si>
  <si>
    <t>SF-00072</t>
  </si>
  <si>
    <t>Trole para travaqueda retrátil</t>
  </si>
  <si>
    <t>Limpeza final de obra</t>
  </si>
  <si>
    <t>Abertura/fechamento rasgo em alvenaria</t>
  </si>
  <si>
    <t>Furo em concreto de até 75mm de diâmetro</t>
  </si>
  <si>
    <t>Furo em concreto para diâmetros maiores que 75mm</t>
  </si>
  <si>
    <t>Concreto virado em betoneira, fck = 15 MPa</t>
  </si>
  <si>
    <t>Concreto virado em betoneira, fck = 25MPa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</si>
  <si>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</si>
  <si>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</si>
  <si>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</si>
  <si>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</si>
  <si>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</si>
  <si>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</si>
  <si>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</si>
  <si>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</si>
  <si>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</si>
  <si>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</si>
  <si>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</si>
  <si>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</si>
  <si>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</si>
  <si>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Reboco com argamassa industrializada e=2,0 cm</t>
  </si>
  <si>
    <t>Regularização com argamassa industrializada e=0,5 cm</t>
  </si>
  <si>
    <t>Tratamento de trincas superficiais</t>
  </si>
  <si>
    <t>Aplicação de fundo selador base água</t>
  </si>
  <si>
    <t>Fundo anticorrosivo e de aderência (base água)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</si>
  <si>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</si>
  <si>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</si>
  <si>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</si>
  <si>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</si>
  <si>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</si>
  <si>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</si>
  <si>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</si>
  <si>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</si>
  <si>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(e=2cm)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</si>
  <si>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</si>
  <si>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</si>
  <si>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</si>
  <si>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</si>
  <si>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</si>
  <si>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</si>
  <si>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</si>
  <si>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</si>
  <si>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</si>
  <si>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</si>
  <si>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</si>
  <si>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</si>
  <si>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</si>
  <si>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</si>
  <si>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</si>
  <si>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</si>
  <si>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20mm para rodabancada</t>
  </si>
  <si>
    <t>Granito Cinza Andorinha 20mm para bancadas</t>
  </si>
  <si>
    <t>Granito Cinza Andorinha 20mm para divisória</t>
  </si>
  <si>
    <t>Granito Preto São Gabriel 20mm para rodabancada</t>
  </si>
  <si>
    <t>Granito Preto São Gabriel 20mm para bancadas</t>
  </si>
  <si>
    <t>Instalação de bancada de granito ou mármore reaproveitada</t>
  </si>
  <si>
    <t>Instalação de rodapé reaproveitado, de mármore ou granito</t>
  </si>
  <si>
    <t>Instalação de soleira ou peitoril, de mármore ou granito, reaproveitados</t>
  </si>
  <si>
    <t>Mármore Branco Especial 20mm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</si>
  <si>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</si>
  <si>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</si>
  <si>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</si>
  <si>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</si>
  <si>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</si>
  <si>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</si>
  <si>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</si>
  <si>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</si>
  <si>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</si>
  <si>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</si>
  <si>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</si>
  <si>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</si>
  <si>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</si>
  <si>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</si>
  <si>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6000mm</t>
  </si>
  <si>
    <t>Forro de PVC em réguas de 100 x 6000mm,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</si>
  <si>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</si>
  <si>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</si>
  <si>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</si>
  <si>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</si>
  <si>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</si>
  <si>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</si>
  <si>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</si>
  <si>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</si>
  <si>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</si>
  <si>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</si>
  <si>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</si>
  <si>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Espelho cristal, e=5 mm</t>
  </si>
  <si>
    <t>Instalação de vidro reaproveitado</t>
  </si>
  <si>
    <t>Substituição da calafetação com selante</t>
  </si>
  <si>
    <t>Vidro liso comum transparente 4mm</t>
  </si>
  <si>
    <t>Vidro liso comum transparente 6mm</t>
  </si>
  <si>
    <t>Instalação de painéis de vidro temperado reaproveitados</t>
  </si>
  <si>
    <t>Mola hidráulica de piso</t>
  </si>
  <si>
    <t>Instalação de persianas reaproveitadas</t>
  </si>
  <si>
    <t>SF-00162</t>
  </si>
  <si>
    <t>Persiana vertical em alumínio 90 mm, cor verde claro</t>
  </si>
  <si>
    <t>SF-00163</t>
  </si>
  <si>
    <t>Persiana vertical em tecido Juta Resinado sem blecaute de 90mm, cor bege</t>
  </si>
  <si>
    <t>SF-00164</t>
  </si>
  <si>
    <t>Persiana vertical em tecido sintético sem blecaute de 90mm, cores verde escuro ou branca</t>
  </si>
  <si>
    <t>SF-00165</t>
  </si>
  <si>
    <t>Película jateada</t>
  </si>
  <si>
    <t>Tubo de ligação para bacia sanitária</t>
  </si>
  <si>
    <t>Tubo PVC esgoto ou aguas pluviais predial DN 100mm</t>
  </si>
  <si>
    <t>Tubo PVC esgoto ou aguas pluviais predial DN 40mm</t>
  </si>
  <si>
    <t>Tubo PVC esgoto ou aguas pluviais predial DN 50mm</t>
  </si>
  <si>
    <t>Tubo PVC esgoto ou aguas pluviais predial DN 75mm</t>
  </si>
  <si>
    <t>Tubo PVC soldável agua fria DN 25mm</t>
  </si>
  <si>
    <t>Tubo PVC soldável agua fria DN 32mm</t>
  </si>
  <si>
    <t>Tubo PVC soldável agua fria DN 40mm</t>
  </si>
  <si>
    <t>Tubo PVC soldável agua fria DN 50mm</t>
  </si>
  <si>
    <t>Base registro gaveta 3/4"</t>
  </si>
  <si>
    <t>Caixa sifonada de PVC DN 150mm</t>
  </si>
  <si>
    <t>Caixa sifonada de PVC DN 250mm</t>
  </si>
  <si>
    <t>Grelha quadrada para ralo 10x10cm</t>
  </si>
  <si>
    <t>Grelha quadrada para ralo 15x15cm</t>
  </si>
  <si>
    <t>Ralo seco PVC DN 100x40mm</t>
  </si>
  <si>
    <t>Assento para bacia convencional – Linha Administrativa</t>
  </si>
  <si>
    <t>Bacia convencional – Linha Administrativa</t>
  </si>
  <si>
    <t>Bacia convencional com saída horizontal</t>
  </si>
  <si>
    <t>Cuba oval de embutir</t>
  </si>
  <si>
    <t>Cuba retangular em aço inox – Linha Administrativa</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</si>
  <si>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</si>
  <si>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</si>
  <si>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</si>
  <si>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</si>
  <si>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</si>
  <si>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</si>
  <si>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 – Linha Administrativa</t>
  </si>
  <si>
    <t>Acabamento para registro GD – Linha Administrativa</t>
  </si>
  <si>
    <t>Acabamento para registro PQ – Linha Administrativa</t>
  </si>
  <si>
    <t>Ducha higiênica – Linha Administrativa</t>
  </si>
  <si>
    <t>Instalação de metais e acessórios reaproveitados</t>
  </si>
  <si>
    <t>Ligação flexível 1/2” x 40 cm – Linha Administrativa</t>
  </si>
  <si>
    <t>Sifão articulado para cozinha – Linha Administrativa</t>
  </si>
  <si>
    <t>Sifão para lavatório 1 1/2"</t>
  </si>
  <si>
    <t>Sifão para tanque – Linha Administrativa</t>
  </si>
  <si>
    <t>Torneira de mesa para cozinha bica móvel – Linha Administrativa</t>
  </si>
  <si>
    <t>Torneira de mesa para cozinha bica móvel com arejador – Linha Administrativa</t>
  </si>
  <si>
    <t>Torneira de mesa para lavatório – Linha Acessibilidade</t>
  </si>
  <si>
    <t>Torneira de mesa para lavatório bica alta – Linha Administrativa</t>
  </si>
  <si>
    <t>Torneira de mesa para lavatório bica baixa – Linha Administrativa</t>
  </si>
  <si>
    <t>Torneira de mesa para lavatório com fechamento automático – Linha Administrativa</t>
  </si>
  <si>
    <t>Torneira de parede para cozinha bica móvel – Linha Administrativa</t>
  </si>
  <si>
    <t>Torneira de parede para tanque – Linha Administrativa</t>
  </si>
  <si>
    <t>Válvula de descarga 1 1/2" – Linha Acessibilidade</t>
  </si>
  <si>
    <t>Válvula de descarga 1 1/2" – Linha Administrativa</t>
  </si>
  <si>
    <t>Válvula de descarga 1 1/4" – Linha Acessibilidade</t>
  </si>
  <si>
    <t>Válvula de descarga 1 1/4" – Linha Administrativa</t>
  </si>
  <si>
    <t>Válvula de escoamento para lavatório – Linha Administrativa</t>
  </si>
  <si>
    <t>Válvula de escoamento para tanque – Linha Administrativa</t>
  </si>
  <si>
    <t>Válvula descarga para mictório – Linha Administrativa</t>
  </si>
  <si>
    <t>Alarme de emergência para sanitários PNE</t>
  </si>
  <si>
    <t>Barra de apoio 40cm – Linha Acessibilidade</t>
  </si>
  <si>
    <t>Barra de apoio 70cm – Linha Acessibilidade</t>
  </si>
  <si>
    <t>Barra de apoio 80cm – Linha Acessibilidade</t>
  </si>
  <si>
    <t>Barra de apoio lateral fixa 30cm – Linha Acessibilidade</t>
  </si>
  <si>
    <t>Lavatório suspenso – Linha Acessibilidade</t>
  </si>
  <si>
    <t>Lavatório suspenso com Coluna – Linha Acessibilidade</t>
  </si>
  <si>
    <t>Cabide – Linha Administrativa</t>
  </si>
  <si>
    <t>Papeleira – Linha Administrativa</t>
  </si>
  <si>
    <t>Porta toalha argola – Linha Administrativa</t>
  </si>
  <si>
    <t>Porta toalha barra – Linha Administrativa</t>
  </si>
  <si>
    <t>Caixa 4x2 de embutir para alvenaria</t>
  </si>
  <si>
    <t>Caixa 4x4 de embutir para alvenaria</t>
  </si>
  <si>
    <t>Caixa de passagem em alumínio 100x100x50mm</t>
  </si>
  <si>
    <t>Caixa de passagem em alumínio 200x200x100mm</t>
  </si>
  <si>
    <t>Caixa de passagem em PVC 150x150x75mm</t>
  </si>
  <si>
    <t>Caixa para piso elevado</t>
  </si>
  <si>
    <t>Canaleta em alumínio aparente 73mmx25mm</t>
  </si>
  <si>
    <t>Condulete de alumínio de 1’’</t>
  </si>
  <si>
    <t>Eletrocalha 100x50 mm</t>
  </si>
  <si>
    <t>Eletrocalha 200x100 mm</t>
  </si>
  <si>
    <t>Eletrocalha 200x50 mm</t>
  </si>
  <si>
    <t>Eletrocalha 300x100 mm</t>
  </si>
  <si>
    <t>Eletrocalha 300x50 mm</t>
  </si>
  <si>
    <t>Eletrocalha 400x50 mm</t>
  </si>
  <si>
    <t>Eletrocalha 50x50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</si>
  <si>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</si>
  <si>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</si>
  <si>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</si>
  <si>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</si>
  <si>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</si>
  <si>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32mm)</t>
  </si>
  <si>
    <t>Eletroduto de PVC Corrugado Reforçado 3/4'' (DE 25mm)</t>
  </si>
  <si>
    <t>Eletroduto flexível metálico com capa de PVC 1’’</t>
  </si>
  <si>
    <t>Eletroduto flexível metálico com capa de PVC 3/4"</t>
  </si>
  <si>
    <t>Perfilado 38x38mm</t>
  </si>
  <si>
    <t>Espelho 4x2</t>
  </si>
  <si>
    <t>Espelho 4x4</t>
  </si>
  <si>
    <t>Interruptor para condulete</t>
  </si>
  <si>
    <t>Módulo interruptor paralelo</t>
  </si>
  <si>
    <t>Módulo interruptor simples</t>
  </si>
  <si>
    <t>Módulo tomada 10 A</t>
  </si>
  <si>
    <t>Módulo tomada 20 A</t>
  </si>
  <si>
    <t>Tampa cega metálica para caixas de piso 4x2</t>
  </si>
  <si>
    <t>Tampa cega metálica para caixas de piso 4x4</t>
  </si>
  <si>
    <t>Tampa cega para condulete</t>
  </si>
  <si>
    <t>Tampa RJ45 dupla para condulete</t>
  </si>
  <si>
    <t>Tomada para condulete</t>
  </si>
  <si>
    <t>Tomada para perfilado e eletrocalha</t>
  </si>
  <si>
    <t>Bloco autônomo de emergência</t>
  </si>
  <si>
    <t>Instalação de luminária reaproveitada</t>
  </si>
  <si>
    <t>Luminária 2x14 W de embutir</t>
  </si>
  <si>
    <t>Luminária 2x14 W de sobrepor</t>
  </si>
  <si>
    <t>Luminária 2x28 W de embutir</t>
  </si>
  <si>
    <t>Luminária 2x28 W de sobrepor</t>
  </si>
  <si>
    <t>Condutor 10mm²</t>
  </si>
  <si>
    <t>Condutor 16mm²</t>
  </si>
  <si>
    <t>Condutor 2,5 mm²</t>
  </si>
  <si>
    <t>Condutor 3x2,5 mm²</t>
  </si>
  <si>
    <t>Condutor 4 mm²</t>
  </si>
  <si>
    <t>Condutor 4x2,5 mm²</t>
  </si>
  <si>
    <t>Condutor 6 mm²</t>
  </si>
  <si>
    <t>Quadro elétrico TTA</t>
  </si>
  <si>
    <t>SF-00286</t>
  </si>
  <si>
    <t>Ar-condicionado do tipo split piso-teto inverter 54.000BTU/h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</si>
  <si>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</si>
  <si>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</si>
  <si>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</si>
  <si>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</si>
  <si>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</si>
  <si>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</si>
  <si>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</si>
  <si>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</si>
  <si>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</si>
  <si>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</si>
  <si>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</si>
  <si>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</si>
  <si>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</si>
  <si>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</si>
  <si>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</si>
  <si>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</si>
  <si>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</si>
  <si>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</si>
  <si>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</si>
  <si>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360x360 mm</t>
  </si>
  <si>
    <t>Difusor de ar quadrado com caixa plenum AK6 360x360 mm</t>
  </si>
  <si>
    <t>Difusor de ar quadrado para insuflamento em duas direções perpendiculares 376x376 mm</t>
  </si>
  <si>
    <t>Difusor de ar retangular para insuflamento em duas direções 371x208 mm</t>
  </si>
  <si>
    <t>Difusor de ar retangular para insuflamento em três direções 264x432 mm</t>
  </si>
  <si>
    <t>Difusor de ar retangular para insuflamento em três direções 320x562 mm</t>
  </si>
  <si>
    <t>Difusor de ar retangular para insuflamento em três direções 371x208 mm</t>
  </si>
  <si>
    <t>Difusor de ar retangular para insuflamento em uma direção 371x208 mm</t>
  </si>
  <si>
    <t>Grelha para retorno retangular 425x225 mm</t>
  </si>
  <si>
    <t>Grelha para retorno retangular 525x325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</si>
  <si>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</si>
  <si>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</si>
  <si>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</si>
  <si>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</si>
  <si>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</si>
  <si>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</si>
  <si>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</si>
  <si>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</si>
  <si>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</si>
  <si>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</si>
  <si>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</si>
  <si>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</si>
  <si>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</si>
  <si>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</si>
  <si>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</si>
  <si>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</si>
  <si>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</si>
  <si>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</si>
  <si>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</si>
  <si>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</si>
  <si>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</si>
  <si>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</si>
  <si>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</si>
  <si>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</si>
  <si>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</si>
  <si>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</si>
  <si>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ferro de 1 1/4"</t>
  </si>
  <si>
    <t>Isolamento elastomérico para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</si>
  <si>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</si>
  <si>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</si>
  <si>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</si>
  <si>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</si>
  <si>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</si>
  <si>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</si>
  <si>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</si>
  <si>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</si>
  <si>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</si>
  <si>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</si>
  <si>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</si>
  <si>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</si>
  <si>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</si>
  <si>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</si>
  <si>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</si>
  <si>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</si>
  <si>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porta e gavetas</t>
  </si>
  <si>
    <t>Instalação de armários reaproveitados</t>
  </si>
  <si>
    <t>Mesa/tampo de MDF, fixada em parede com mão-francesa</t>
  </si>
  <si>
    <t>Painel para TV de 120 x 180 cm</t>
  </si>
  <si>
    <t>Painel para TV de 160 x 160 cm</t>
  </si>
  <si>
    <t>Painel para TV de 90 x 120 cm</t>
  </si>
  <si>
    <t>Batentes e guarnições para porta, em madeira</t>
  </si>
  <si>
    <t>Chapa de proteção para porta – Linha Acessibilidade</t>
  </si>
  <si>
    <t>Folha de porta em madeira 2,10x0,60m, com ou sem bandeira, e dobradiças</t>
  </si>
  <si>
    <t>Folha de porta em madeira 2,10x0,70m, com ou sem bandeira, e dobradiças</t>
  </si>
  <si>
    <t>Folha de porta em madeira 2,10x0,80m, com ou sem bandeira, e dobradiças</t>
  </si>
  <si>
    <t>Folha de porta em madeira 2,10x0,90m, com ou sem bandeira, e dobradiças</t>
  </si>
  <si>
    <t>Folha de porta em madeira 2,10x1,0m, com ou sem bandeira, e dobradiças</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</si>
  <si>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</si>
  <si>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</si>
  <si>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</si>
  <si>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</si>
  <si>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</si>
  <si>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</si>
  <si>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</si>
  <si>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</si>
  <si>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</si>
  <si>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</si>
  <si>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</si>
  <si>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</si>
  <si>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</si>
  <si>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</si>
  <si>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525x325 mm</t>
  </si>
  <si>
    <t>SF-00381</t>
  </si>
  <si>
    <t>Anilina</t>
  </si>
  <si>
    <t>SF-00382</t>
  </si>
  <si>
    <t>Seladora incolor</t>
  </si>
  <si>
    <t>Litro</t>
  </si>
  <si>
    <t>SF-00383</t>
  </si>
  <si>
    <t>Veladura</t>
  </si>
  <si>
    <t>900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</si>
  <si>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</si>
  <si>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</si>
  <si>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</si>
  <si>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</si>
  <si>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</si>
  <si>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</si>
  <si>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</si>
  <si>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</si>
  <si>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</si>
  <si>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</si>
  <si>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</si>
  <si>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</si>
  <si>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</si>
  <si>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</si>
  <si>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</si>
  <si>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</si>
  <si>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</si>
  <si>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</si>
  <si>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</si>
  <si>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</si>
  <si>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</si>
  <si>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</si>
  <si>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- 10mm x 15mm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</si>
  <si>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</si>
  <si>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</si>
  <si>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</si>
  <si>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</si>
  <si>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</si>
  <si>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</si>
  <si>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</si>
  <si>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</si>
  <si>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</si>
  <si>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</si>
  <si>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</si>
  <si>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</si>
  <si>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</si>
  <si>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</si>
  <si>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</si>
  <si>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</si>
  <si>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</si>
  <si>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</si>
  <si>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</si>
  <si>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</si>
  <si>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SF-00405</t>
  </si>
  <si>
    <t>Dobradiça para porta com anel</t>
  </si>
  <si>
    <t>SF-00406</t>
  </si>
  <si>
    <t>Dobradiça curva para porta de armário (com parafuso de fixação)</t>
  </si>
  <si>
    <t>SF-00407</t>
  </si>
  <si>
    <t>Fechadura para porta externa maçaneta em barra (fornecimento)</t>
  </si>
  <si>
    <t>Fechadura para Porta Externa com Espelho - Millenio</t>
  </si>
  <si>
    <t>SF-00409</t>
  </si>
  <si>
    <t>Fechadura para Porta de Banheiro com Espelho - Millenio</t>
  </si>
  <si>
    <t>SF-00410</t>
  </si>
  <si>
    <t>Fechadura para porta de divisória - Soprano</t>
  </si>
  <si>
    <t>SF-00411</t>
  </si>
  <si>
    <t>Tarjeta Livre / Ocupado para portas de banheiro</t>
  </si>
  <si>
    <t>SF-00412</t>
  </si>
  <si>
    <t>Fechadura tubular cilíndrica para porta de divisória</t>
  </si>
  <si>
    <t>SF-00413</t>
  </si>
  <si>
    <t>Fechadura Cilíndrica para Armário</t>
  </si>
  <si>
    <t>SF-00414</t>
  </si>
  <si>
    <t>Fechadura de embutir para armário e gaveta</t>
  </si>
  <si>
    <t>SF-00415</t>
  </si>
  <si>
    <t>Fechadura de embutir para móveis – Fechamento Superior - Referência 861</t>
  </si>
  <si>
    <t>SF-00416</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</si>
  <si>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</si>
  <si>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</si>
  <si>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</si>
  <si>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</si>
  <si>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</si>
  <si>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</si>
  <si>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</si>
  <si>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</si>
  <si>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</si>
  <si>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</si>
  <si>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</si>
  <si>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</si>
  <si>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</si>
  <si>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</si>
  <si>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</si>
  <si>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</si>
  <si>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</si>
  <si>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</si>
  <si>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</si>
  <si>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</si>
  <si>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</si>
  <si>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</si>
  <si>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25mm de diâmetro</t>
  </si>
  <si>
    <t>SF-00428</t>
  </si>
  <si>
    <t>Puxador em botão convexo de 25mm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</si>
  <si>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</si>
  <si>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</si>
  <si>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</si>
  <si>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</si>
  <si>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</si>
  <si>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</si>
  <si>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</si>
  <si>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</si>
  <si>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</si>
  <si>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</si>
  <si>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</si>
  <si>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</si>
  <si>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</si>
  <si>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</si>
  <si>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</si>
  <si>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</si>
  <si>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</si>
  <si>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</si>
  <si>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</si>
  <si>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</si>
  <si>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</si>
  <si>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</si>
  <si>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</si>
  <si>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</si>
  <si>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</si>
  <si>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</si>
  <si>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</si>
  <si>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</si>
  <si>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</si>
  <si>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SF-00443</t>
  </si>
  <si>
    <t>Puxador alça 102mm</t>
  </si>
  <si>
    <t>SF-00444</t>
  </si>
  <si>
    <t>Puxador tipo “C” em arco - 128mm</t>
  </si>
  <si>
    <t>SF-00445</t>
  </si>
  <si>
    <t>Puxador tipo “C” em arco - 96mm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</si>
  <si>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</si>
  <si>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</si>
  <si>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</si>
  <si>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</si>
  <si>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</si>
  <si>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</si>
  <si>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</si>
  <si>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</si>
  <si>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</si>
  <si>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</si>
  <si>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</si>
  <si>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</si>
  <si>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</si>
  <si>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</si>
  <si>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</si>
  <si>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</si>
  <si>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</si>
  <si>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</si>
  <si>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</si>
  <si>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</si>
  <si>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</si>
  <si>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</si>
  <si>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</si>
  <si>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</si>
  <si>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</si>
  <si>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</si>
  <si>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</si>
  <si>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</si>
  <si>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</si>
  <si>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</si>
  <si>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</si>
  <si>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25mmx25mm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</si>
  <si>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</si>
  <si>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</si>
  <si>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</si>
  <si>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</si>
  <si>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</si>
  <si>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</si>
  <si>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</si>
  <si>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</si>
  <si>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</si>
  <si>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</si>
  <si>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</si>
  <si>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</si>
  <si>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SF-00468</t>
  </si>
  <si>
    <t>Adesivo de Contato à Base d’água</t>
  </si>
  <si>
    <t>SF-00469</t>
  </si>
  <si>
    <t>Adesivo de Contato de Alto Desempenho sem Toluol</t>
  </si>
  <si>
    <t>SF-00470</t>
  </si>
  <si>
    <t>Laminado fenólico melamínico texturizado - Azul Noturno</t>
  </si>
  <si>
    <t>SF-00471</t>
  </si>
  <si>
    <t>Laminado fenólico melamínico texturizado - Branco</t>
  </si>
  <si>
    <t>SF-00472</t>
  </si>
  <si>
    <t>Laminado fenólico melamínico texturizado - Ovo</t>
  </si>
  <si>
    <t>SF-00473</t>
  </si>
  <si>
    <t>Lâmina de Madeira - Mogno</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</si>
  <si>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</si>
  <si>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</si>
  <si>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</si>
  <si>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</si>
  <si>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</si>
  <si>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</si>
  <si>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</si>
  <si>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</si>
  <si>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</si>
  <si>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</si>
  <si>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</si>
  <si>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</si>
  <si>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</si>
  <si>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</si>
  <si>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</si>
  <si>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duas faces - 04 mm</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</si>
  <si>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</si>
  <si>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</si>
  <si>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</si>
  <si>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</si>
  <si>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</si>
  <si>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</si>
  <si>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</si>
  <si>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</si>
  <si>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</si>
  <si>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</si>
  <si>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</si>
  <si>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</si>
  <si>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</si>
  <si>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</si>
  <si>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SF-00489</t>
  </si>
  <si>
    <t>Tábua de Madeira bruta aparelhada - Pinus</t>
  </si>
  <si>
    <t>SF-00490</t>
  </si>
  <si>
    <t>Sarrafo De Madeira</t>
  </si>
  <si>
    <t>SF-00491</t>
  </si>
  <si>
    <t>Caibro De Madeira</t>
  </si>
  <si>
    <t>SF-00492</t>
  </si>
  <si>
    <t>Pontalete De Madeira</t>
  </si>
  <si>
    <t>SF-00493</t>
  </si>
  <si>
    <t>Ripa De Madeira</t>
  </si>
  <si>
    <t>SF-00494</t>
  </si>
  <si>
    <t>Painel de MDF Laminado – Branco - 06mm</t>
  </si>
  <si>
    <t>SF-00495</t>
  </si>
  <si>
    <t>Painel de MDF Laminado – Ovo - 06mm</t>
  </si>
  <si>
    <t>SF-00496</t>
  </si>
  <si>
    <t>Painel de MDF Laminado - Branco - 15mm</t>
  </si>
  <si>
    <t>SF-00497</t>
  </si>
  <si>
    <t>Painel de MDF Laminado – Ovo - 15mm</t>
  </si>
  <si>
    <t>SF-00498</t>
  </si>
  <si>
    <t>Painel de MDF Laminado – Branco - 18mm</t>
  </si>
  <si>
    <t>SF-00499</t>
  </si>
  <si>
    <t>Painel de MDF Laminado – Ovo - 18mm</t>
  </si>
  <si>
    <t>SF-00500</t>
  </si>
  <si>
    <t>Cantoneira laminada em aço abas iguais 1" x 3/16"</t>
  </si>
  <si>
    <t>SF-00501</t>
  </si>
  <si>
    <t>Cantoneira laminada em aço abas iguais 1"1/4 x 3/16"</t>
  </si>
  <si>
    <t>SF-00502</t>
  </si>
  <si>
    <t>Cantoneira laminada em aço abas iguais 2” x 1/8”</t>
  </si>
  <si>
    <t>SF-00503</t>
  </si>
  <si>
    <t>Cantoneira laminada em aço abas Iguais 2” x 3/16”</t>
  </si>
  <si>
    <t>SF-00504</t>
  </si>
  <si>
    <t>Cantoneira laminada em aço abas Iguais 5/8” x 1/8”</t>
  </si>
  <si>
    <t>SF-00505</t>
  </si>
  <si>
    <t>Chapa aço galvanizado # 16 (kg)</t>
  </si>
  <si>
    <t>SF-00506</t>
  </si>
  <si>
    <t>Ferro chato 1"x1/8"</t>
  </si>
  <si>
    <t>SF-00507</t>
  </si>
  <si>
    <t>Ferro chato 1"x3/16"</t>
  </si>
  <si>
    <t>SF-00508</t>
  </si>
  <si>
    <t>Ferro chato  3/4"x1/4" ou 7/8"x1/4" ou 1” x 1/4”</t>
  </si>
  <si>
    <t>SF-00509</t>
  </si>
  <si>
    <t>Ferro chato 3/4"x1/8"</t>
  </si>
  <si>
    <t>SF-00510</t>
  </si>
  <si>
    <t>Ferro chato 3/4"x3/16"</t>
  </si>
  <si>
    <t>SF-00511</t>
  </si>
  <si>
    <t>Ferro chato 5/8"x1/8"</t>
  </si>
  <si>
    <t>SF-00512</t>
  </si>
  <si>
    <t>Ferro chato 5/8"x3/16"</t>
  </si>
  <si>
    <t>SF-00513</t>
  </si>
  <si>
    <t>Ferro chato 7/8"x1/8"</t>
  </si>
  <si>
    <t>SF-00514</t>
  </si>
  <si>
    <t>Ferro chato 7/8"x3/16"</t>
  </si>
  <si>
    <t>SF-00515</t>
  </si>
  <si>
    <t>Perfil trilho Stanley 60mm x 55mm, # 16</t>
  </si>
  <si>
    <t>SF-00516</t>
  </si>
  <si>
    <t>Perfil U Enrijecido 100mm x 50mm x 17mm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</si>
  <si>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</si>
  <si>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</si>
  <si>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</si>
  <si>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</si>
  <si>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</si>
  <si>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</si>
  <si>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</si>
  <si>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</si>
  <si>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</si>
  <si>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</si>
  <si>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</si>
  <si>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</si>
  <si>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</si>
  <si>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</si>
  <si>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</si>
  <si>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</si>
  <si>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</si>
  <si>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</si>
  <si>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</si>
  <si>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</si>
  <si>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</si>
  <si>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</si>
  <si>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</si>
  <si>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</si>
  <si>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</si>
  <si>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</si>
  <si>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</si>
  <si>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</si>
  <si>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</si>
  <si>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</si>
  <si>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</si>
  <si>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</si>
  <si>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</si>
  <si>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</si>
  <si>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</si>
  <si>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</si>
  <si>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</si>
  <si>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</si>
  <si>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</si>
  <si>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</si>
  <si>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</si>
  <si>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</si>
  <si>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</si>
  <si>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</si>
  <si>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</si>
  <si>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</si>
  <si>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</si>
  <si>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</si>
  <si>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</si>
  <si>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</si>
  <si>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</si>
  <si>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</si>
  <si>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</si>
  <si>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</si>
  <si>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</si>
  <si>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</si>
  <si>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</si>
  <si>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</si>
  <si>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</si>
  <si>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</si>
  <si>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</si>
  <si>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</si>
  <si>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</si>
  <si>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</si>
  <si>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</si>
  <si>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</si>
  <si>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</si>
  <si>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</si>
  <si>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</si>
  <si>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- 16x16 a 20x20 - chapa 18</t>
  </si>
  <si>
    <t>SF-00552</t>
  </si>
  <si>
    <t>Tubo quadrado em metalon - 25x25 a 40x40 - chapa 18</t>
  </si>
  <si>
    <t>SF-00553</t>
  </si>
  <si>
    <t>Tubo quadrado em metalon - 50x50 - chapa 18</t>
  </si>
  <si>
    <t>SF-00554</t>
  </si>
  <si>
    <t>Tubo retangular em metalon - 30x20 - chapa 18</t>
  </si>
  <si>
    <t>SF-00555</t>
  </si>
  <si>
    <t>Tubo retangular em metalon - 40x20 a 50x30 - chapa 18</t>
  </si>
  <si>
    <t>SF-00556</t>
  </si>
  <si>
    <t>Concertina simples em aço galvanizado, lâminas de 22 x 15mm, diâmetro 45 cm (rolo com 40 espiras)</t>
  </si>
  <si>
    <t>Rolo</t>
  </si>
  <si>
    <t>SF-00557</t>
  </si>
  <si>
    <t>Tela de estuque</t>
  </si>
  <si>
    <t>SF-00558</t>
  </si>
  <si>
    <t>Tela tipo galinheiro (hexagonal) galvanizada 2" BWG 22</t>
  </si>
  <si>
    <t>SF-00559</t>
  </si>
  <si>
    <t>Arame galvanizado, bitola 16 BWG (1,65mm)</t>
  </si>
  <si>
    <t>SF-00560</t>
  </si>
  <si>
    <t>Arame galvanizado nº 20</t>
  </si>
  <si>
    <t>SF-00561</t>
  </si>
  <si>
    <t>Tela em aço galvanizado, tipo alambrado, malha 2, fio 12</t>
  </si>
  <si>
    <t>SF-00562</t>
  </si>
  <si>
    <t>Massa Adesiva Plástica</t>
  </si>
  <si>
    <t>Argamassa Para Contrapiso</t>
  </si>
  <si>
    <t>40 kg</t>
  </si>
  <si>
    <t>Argamassa Múltiplo Uso</t>
  </si>
  <si>
    <t>Cimento Portland CP II E 32</t>
  </si>
  <si>
    <t>50 kg</t>
  </si>
  <si>
    <t>Argamassa Colante tipo AC III</t>
  </si>
  <si>
    <t>20 kg</t>
  </si>
  <si>
    <t>Gesso Para Uso Geral</t>
  </si>
  <si>
    <t>Areia Média</t>
  </si>
  <si>
    <t>Brita Nº 0</t>
  </si>
  <si>
    <t>Brita Nº 1</t>
  </si>
  <si>
    <t>Bloco Cerâmico De 08 Furos</t>
  </si>
  <si>
    <t>Tijolo Maciço</t>
  </si>
  <si>
    <t>Bloco De Concreto Com 02 Furos</t>
  </si>
  <si>
    <t>Bloco De Concreto Tipo Canaleta</t>
  </si>
  <si>
    <t>Vergalhão Ca-60 Diâmetro 5,0 Mm</t>
  </si>
  <si>
    <t>Vergalhão Ca-50 Diâmetro 6,3 Mm</t>
  </si>
  <si>
    <t>Vergalhão Ca-50 Diâmetro 8,0 Mm</t>
  </si>
  <si>
    <t>Vergalhão Ca-50 Diâmetro 10,0 Mm</t>
  </si>
  <si>
    <t>Vergalhão Ca-50 Diâmetro 12,5 Mm</t>
  </si>
  <si>
    <t>Arame Recozido Nº 18</t>
  </si>
  <si>
    <t>Adesivo Estrutural Epóxi Bicomponente</t>
  </si>
  <si>
    <t>SF-00582</t>
  </si>
  <si>
    <t>Adesivo Selante Poliuretano</t>
  </si>
  <si>
    <t>SF-00583</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</si>
  <si>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</si>
  <si>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</si>
  <si>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</si>
  <si>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</si>
  <si>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</si>
  <si>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</si>
  <si>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</si>
  <si>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</si>
  <si>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</si>
  <si>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</si>
  <si>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</si>
  <si>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</si>
  <si>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</si>
  <si>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</si>
  <si>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</si>
  <si>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</si>
  <si>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SF-00592</t>
  </si>
  <si>
    <t>Lona Plástica</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</si>
  <si>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</si>
  <si>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</si>
  <si>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</si>
  <si>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</si>
  <si>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</si>
  <si>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</si>
  <si>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</si>
  <si>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</si>
  <si>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</si>
  <si>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</si>
  <si>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</si>
  <si>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</si>
  <si>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</si>
  <si>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</si>
  <si>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</si>
  <si>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</si>
  <si>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</si>
  <si>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</si>
  <si>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</si>
  <si>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</si>
  <si>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</si>
  <si>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</si>
  <si>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</si>
  <si>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</si>
  <si>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</si>
  <si>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</si>
  <si>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</si>
  <si>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</si>
  <si>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</si>
  <si>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</si>
  <si>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</si>
  <si>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</si>
  <si>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</si>
  <si>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</si>
  <si>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</si>
  <si>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</si>
  <si>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</si>
  <si>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</si>
  <si>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</si>
  <si>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</si>
  <si>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</si>
  <si>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</si>
  <si>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</si>
  <si>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</si>
  <si>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</si>
  <si>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</si>
  <si>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</si>
  <si>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t>
  </si>
  <si>
    <t>SF-00617</t>
  </si>
  <si>
    <t>Parafuso Philips Cabeça Chata - 3.0 x 22</t>
  </si>
  <si>
    <t>SF-00618</t>
  </si>
  <si>
    <t>Parafuso Philips Cabeça Chata - 3.0 x 25</t>
  </si>
  <si>
    <t>SF-00619</t>
  </si>
  <si>
    <t>Parafuso Philips Cabeça Chata - 3.0 x 30</t>
  </si>
  <si>
    <t>SF-00620</t>
  </si>
  <si>
    <t>Parafuso Philips Cabeça Chata - 3.5 x 14</t>
  </si>
  <si>
    <t>SF-00621</t>
  </si>
  <si>
    <t>Parafuso Philips Cabeça Chata - 3.5 x 16</t>
  </si>
  <si>
    <t>SF-00622</t>
  </si>
  <si>
    <t>Parafuso Philips Cabeça Chata - 3.5 x 20</t>
  </si>
  <si>
    <t>SF-00623</t>
  </si>
  <si>
    <t>Parafuso Philips Cabeça Chata - 3.5 x 22  mm</t>
  </si>
  <si>
    <t>SF-00624</t>
  </si>
  <si>
    <t>Parafuso Philips Cabeça Chata - 3.5 x 25 mm</t>
  </si>
  <si>
    <t>SF-00625</t>
  </si>
  <si>
    <t>Parafuso Philips Cabeça Chata - 3.5 x 30</t>
  </si>
  <si>
    <t>SF-00626</t>
  </si>
  <si>
    <t>Parafuso Philips Cabeça Chata - 3.5 x 35</t>
  </si>
  <si>
    <t>SF-00627</t>
  </si>
  <si>
    <t>Parafuso Philips Cabeça Chata - 3.5 x 40</t>
  </si>
  <si>
    <t>SF-00628</t>
  </si>
  <si>
    <t>Parafuso Phillips Cabeça Chata - 40x40mm</t>
  </si>
  <si>
    <t>SF-00629</t>
  </si>
  <si>
    <t>Parafuso Phillips Cabeça Chata - 4.0x45mm</t>
  </si>
  <si>
    <t>SF-00630</t>
  </si>
  <si>
    <t>Parafuso Phillips Cabeça Chata - 4.0x50mm</t>
  </si>
  <si>
    <t>SF-00631</t>
  </si>
  <si>
    <t>Parafuso Phillips cabeça chata - 4.0x60mm</t>
  </si>
  <si>
    <t>SF-00632</t>
  </si>
  <si>
    <t>Parafuso Philips Cabeça Chata - 4.0 x 30</t>
  </si>
  <si>
    <t>SF-00633</t>
  </si>
  <si>
    <t>Parafuso Philips Cabeça Chata - 4.0 x 35</t>
  </si>
  <si>
    <t>SF-00634</t>
  </si>
  <si>
    <t>Parafuso Philips Cabeça Chata - 5.0 x 60</t>
  </si>
  <si>
    <t>SF-00635</t>
  </si>
  <si>
    <t>Parafuso Philips Cabeça Chata - 6.0 x 60</t>
  </si>
  <si>
    <t>SF-00636</t>
  </si>
  <si>
    <t>Parafuso Philips Cabeça Chata - 6.0 x 65</t>
  </si>
  <si>
    <t>SF-00637</t>
  </si>
  <si>
    <t>Porca Tipo Borboleta – 1/4”</t>
  </si>
  <si>
    <t>SF-00638</t>
  </si>
  <si>
    <t>Parafuso Philips Cabeça Oval - 4.0 x 16</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</si>
  <si>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</si>
  <si>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</si>
  <si>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</si>
  <si>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</si>
  <si>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</si>
  <si>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</si>
  <si>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</si>
  <si>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</si>
  <si>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</si>
  <si>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</si>
  <si>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</si>
  <si>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</si>
  <si>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</si>
  <si>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</si>
  <si>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</si>
  <si>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</si>
  <si>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</si>
  <si>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</si>
  <si>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</si>
  <si>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</si>
  <si>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</si>
  <si>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</si>
  <si>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</si>
  <si>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</si>
  <si>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</si>
  <si>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</si>
  <si>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</si>
  <si>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</si>
  <si>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</si>
  <si>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</si>
  <si>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</si>
  <si>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</si>
  <si>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</si>
  <si>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</si>
  <si>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</si>
  <si>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</si>
  <si>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</si>
  <si>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</si>
  <si>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</si>
  <si>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</si>
  <si>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</si>
  <si>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</si>
  <si>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</si>
  <si>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</si>
  <si>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</si>
  <si>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</si>
  <si>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</si>
  <si>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</si>
  <si>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</si>
  <si>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</si>
  <si>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</si>
  <si>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</si>
  <si>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</si>
  <si>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</si>
  <si>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</si>
  <si>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</si>
  <si>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</si>
  <si>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</si>
  <si>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</si>
  <si>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</si>
  <si>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</si>
  <si>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</si>
  <si>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</si>
  <si>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</si>
  <si>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</si>
  <si>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</si>
  <si>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</si>
  <si>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</si>
  <si>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</si>
  <si>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</si>
  <si>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</si>
  <si>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</si>
  <si>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</si>
  <si>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</si>
  <si>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</si>
  <si>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</si>
  <si>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</si>
  <si>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</si>
  <si>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</si>
  <si>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</si>
  <si>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</si>
  <si>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</si>
  <si>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</si>
  <si>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</si>
  <si>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SF-00681</t>
  </si>
  <si>
    <t>Lonas</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</si>
  <si>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</si>
  <si>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</si>
  <si>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</si>
  <si>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</si>
  <si>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</si>
  <si>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</si>
  <si>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</si>
  <si>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</si>
  <si>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</si>
  <si>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</si>
  <si>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</si>
  <si>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</si>
  <si>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</si>
  <si>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</si>
  <si>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</si>
  <si>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</si>
  <si>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</si>
  <si>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</si>
  <si>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</si>
  <si>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</si>
  <si>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</si>
  <si>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</si>
  <si>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</si>
  <si>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</si>
  <si>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</si>
  <si>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</si>
  <si>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</si>
  <si>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</si>
  <si>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</si>
  <si>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</si>
  <si>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</si>
  <si>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</si>
  <si>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</si>
  <si>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</si>
  <si>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</si>
  <si>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</si>
  <si>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</si>
  <si>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</si>
  <si>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</si>
  <si>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</si>
  <si>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</si>
  <si>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</si>
  <si>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</si>
  <si>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</si>
  <si>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</si>
  <si>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</si>
  <si>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</si>
  <si>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</si>
  <si>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</si>
  <si>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</si>
  <si>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</si>
  <si>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</si>
  <si>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</si>
  <si>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</si>
  <si>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</si>
  <si>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</si>
  <si>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</si>
  <si>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</si>
  <si>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</si>
  <si>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</si>
  <si>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</si>
  <si>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</si>
  <si>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</si>
  <si>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SF-00718</t>
  </si>
  <si>
    <t>Alicate  de corte diagonal 6''</t>
  </si>
  <si>
    <t>SF-00719</t>
  </si>
  <si>
    <t>Alicate de pressão de 10"</t>
  </si>
  <si>
    <t>SF-00720</t>
  </si>
  <si>
    <t>Alicate meia cana 6''</t>
  </si>
  <si>
    <t>SF-00721</t>
  </si>
  <si>
    <t>Alicate turquês de 8"</t>
  </si>
  <si>
    <t>SF-00722</t>
  </si>
  <si>
    <t>Alicate universal de 8"</t>
  </si>
  <si>
    <t>SF-00723</t>
  </si>
  <si>
    <t>Arco de serra</t>
  </si>
  <si>
    <t>SF-00724</t>
  </si>
  <si>
    <t>Aspirador de pó industrial</t>
  </si>
  <si>
    <t>SF-00725</t>
  </si>
  <si>
    <t>Balde metálico para concreto 10 L</t>
  </si>
  <si>
    <t>SF-00726</t>
  </si>
  <si>
    <t>Caixa para ferramenta sanfonada metálica com cadeado</t>
  </si>
  <si>
    <t>SF-00727</t>
  </si>
  <si>
    <t>Carretel com linha em caixa de pó para marcação</t>
  </si>
  <si>
    <t>SF-00728</t>
  </si>
  <si>
    <t>Carrinho de mão reforçado</t>
  </si>
  <si>
    <t>SF-00729</t>
  </si>
  <si>
    <t>Cavadeira articulada</t>
  </si>
  <si>
    <t>SF-00730</t>
  </si>
  <si>
    <t>Chave de fenda de 1/2" x 10"</t>
  </si>
  <si>
    <t>SF-00731</t>
  </si>
  <si>
    <t>Chave de fenda de 1/4" x 6"</t>
  </si>
  <si>
    <t>SF-00732</t>
  </si>
  <si>
    <t>Chave de fenda de 3/16" x 5"</t>
  </si>
  <si>
    <t>SF-00733</t>
  </si>
  <si>
    <t>Chave Philips PH2 1/4" x 6"</t>
  </si>
  <si>
    <t>SF-00734</t>
  </si>
  <si>
    <t>Chave Philips PH3 5/16" x 8"</t>
  </si>
  <si>
    <t>SF-00735</t>
  </si>
  <si>
    <t>Compressor de Ar 50 L</t>
  </si>
  <si>
    <t>SF-00736</t>
  </si>
  <si>
    <t>Enxadão com cabo</t>
  </si>
  <si>
    <t>SF-00737</t>
  </si>
  <si>
    <t>Enxadão estreito com cabo</t>
  </si>
  <si>
    <t>SF-00738</t>
  </si>
  <si>
    <t>Escada tipo tesoura duplo acesso de fibra com 2m</t>
  </si>
  <si>
    <t>SF-00739</t>
  </si>
  <si>
    <t>Escada tipo tesoura e singela de fibra com 2 m</t>
  </si>
  <si>
    <t>SF-00740</t>
  </si>
  <si>
    <t>Escala métrica de madeira 2m</t>
  </si>
  <si>
    <t>SF-00741</t>
  </si>
  <si>
    <t>Esmerilhadeira Angular 4,5’’</t>
  </si>
  <si>
    <t>SF-00742</t>
  </si>
  <si>
    <t>Esmerilhadeira Angular 7’’</t>
  </si>
  <si>
    <t>SF-00743</t>
  </si>
  <si>
    <t>Espátula forjada de 12 cm</t>
  </si>
  <si>
    <t>SF-00744</t>
  </si>
  <si>
    <t>Espátula forjada de 4 cm</t>
  </si>
  <si>
    <t>SF-00745</t>
  </si>
  <si>
    <t>Espátula forjada de 8 cm</t>
  </si>
  <si>
    <t>SF-00746</t>
  </si>
  <si>
    <t>Esquadro de metal de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</si>
  <si>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</si>
  <si>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</si>
  <si>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</si>
  <si>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</si>
  <si>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</si>
  <si>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</si>
  <si>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</si>
  <si>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</si>
  <si>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</si>
  <si>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</si>
  <si>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</si>
  <si>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</si>
  <si>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</si>
  <si>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de 1/4’’, 4-13 mm</t>
  </si>
  <si>
    <t>SF-00754</t>
  </si>
  <si>
    <t>Kit Parafusadeira de Impacto à Bateria</t>
  </si>
  <si>
    <t>SF-00755</t>
  </si>
  <si>
    <t>Linha de pedreiro de 100m</t>
  </si>
  <si>
    <t>SF-00756</t>
  </si>
  <si>
    <t>Marreta de 1 kg</t>
  </si>
  <si>
    <t>SF-00757</t>
  </si>
  <si>
    <t>Marreta de borracha de 600g</t>
  </si>
  <si>
    <t>SF-00758</t>
  </si>
  <si>
    <t>Martelo de bola, 500 gramas</t>
  </si>
  <si>
    <t>SF-00759</t>
  </si>
  <si>
    <t>Martelo de pena, 300 gramas</t>
  </si>
  <si>
    <t>SF-00760</t>
  </si>
  <si>
    <t>Martelo de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</si>
  <si>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</si>
  <si>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</si>
  <si>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</si>
  <si>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</si>
  <si>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</si>
  <si>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</si>
  <si>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</si>
  <si>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</si>
  <si>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</si>
  <si>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</si>
  <si>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</si>
  <si>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</si>
  <si>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</si>
  <si>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</si>
  <si>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</si>
  <si>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</si>
  <si>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SF-00769</t>
  </si>
  <si>
    <t>Prumo de centro</t>
  </si>
  <si>
    <t>SF-00770</t>
  </si>
  <si>
    <t>Prumo de parede</t>
  </si>
  <si>
    <t>SF-00771</t>
  </si>
  <si>
    <t>Rebitador manual</t>
  </si>
  <si>
    <t>SF-00772</t>
  </si>
  <si>
    <t>Régua de alumínio para pedreiro com 2m</t>
  </si>
  <si>
    <t>SF-00773</t>
  </si>
  <si>
    <t>Serrote comum</t>
  </si>
  <si>
    <t>SF-00774</t>
  </si>
  <si>
    <t>Serrote de costa</t>
  </si>
  <si>
    <t>SF-00775</t>
  </si>
  <si>
    <t>Tesoura de 25 cm</t>
  </si>
  <si>
    <t>SF-00776</t>
  </si>
  <si>
    <t>Tesoura de chapas tipo aviação</t>
  </si>
  <si>
    <t>SF-00777</t>
  </si>
  <si>
    <t>Trena de 5m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</si>
  <si>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</si>
  <si>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</si>
  <si>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</si>
  <si>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</si>
  <si>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</si>
  <si>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</si>
  <si>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</si>
  <si>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</si>
  <si>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</si>
  <si>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</si>
  <si>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</si>
  <si>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</si>
  <si>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</si>
  <si>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</si>
  <si>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</si>
  <si>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</si>
  <si>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</si>
  <si>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</si>
  <si>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</si>
  <si>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</si>
  <si>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</si>
  <si>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</si>
  <si>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</si>
  <si>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</si>
  <si>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</si>
  <si>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</si>
  <si>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</si>
  <si>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</si>
  <si>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</si>
  <si>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</si>
  <si>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</si>
  <si>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</si>
  <si>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</si>
  <si>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</si>
  <si>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</si>
  <si>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</si>
  <si>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</si>
  <si>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</si>
  <si>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</si>
  <si>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</si>
  <si>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</si>
  <si>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</si>
  <si>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</si>
  <si>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</si>
  <si>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</si>
  <si>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</si>
  <si>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</si>
  <si>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</si>
  <si>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</si>
  <si>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</si>
  <si>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</si>
  <si>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</si>
  <si>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</si>
  <si>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</si>
  <si>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</si>
  <si>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250A</t>
  </si>
  <si>
    <t>SF-00806</t>
  </si>
  <si>
    <t>Maçarico para gás GLP</t>
  </si>
  <si>
    <t>SF-00807</t>
  </si>
  <si>
    <t>Máquina de solda inversora AC/DC 180 A 220 Volts</t>
  </si>
  <si>
    <t>SF-00808</t>
  </si>
  <si>
    <t>Betoneira monofásica 400 litros</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</si>
  <si>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</si>
  <si>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</si>
  <si>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</si>
  <si>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</si>
  <si>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</si>
  <si>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</si>
  <si>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</si>
  <si>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</si>
  <si>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</si>
  <si>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</si>
  <si>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SF-00814</t>
  </si>
  <si>
    <t>Desempenadeira de aço lisa</t>
  </si>
  <si>
    <t>SF-00815</t>
  </si>
  <si>
    <t>Desempenadeira estriada em PVC 14 x 27 cm</t>
  </si>
  <si>
    <t>SF-00816</t>
  </si>
  <si>
    <t>Desempenadeira lisa em PVC 18 x 30 cm</t>
  </si>
  <si>
    <t>SF-00817</t>
  </si>
  <si>
    <t>Martelete demolidor 1,7 kW (12 kg)</t>
  </si>
  <si>
    <t>SF-00818</t>
  </si>
  <si>
    <t>Martelete demolidor 2kW (30 kg)</t>
  </si>
  <si>
    <t>SF-00819</t>
  </si>
  <si>
    <t>Rolo lã de carneiro 23cm com suporte</t>
  </si>
  <si>
    <t>SF-00820</t>
  </si>
  <si>
    <t>Trado perfurador para terra manual 25 cm</t>
  </si>
  <si>
    <t>SF-00821</t>
  </si>
  <si>
    <t>Plataforma de trabalho aéreo articulada</t>
  </si>
  <si>
    <t>dia</t>
  </si>
  <si>
    <t>SF-00822</t>
  </si>
  <si>
    <t>Relógio Biométrico</t>
  </si>
  <si>
    <t>SF-00823</t>
  </si>
  <si>
    <t>Camisa polo manga curta com logotipo da empresa na frente e indicação da categoria profissional nas costas</t>
  </si>
  <si>
    <t>pç</t>
  </si>
  <si>
    <t>SF-00824</t>
  </si>
  <si>
    <t>Camisa polo manga longa com logotipo da empresa na frente e indicação da categoria profissional nas costas</t>
  </si>
  <si>
    <t>SF-00825</t>
  </si>
  <si>
    <t>Calças de material resistente e cor escura</t>
  </si>
  <si>
    <t>SF-00826</t>
  </si>
  <si>
    <t>Gorros com pala (boné) na mesma cor da camisa</t>
  </si>
  <si>
    <t>SF-00827</t>
  </si>
  <si>
    <t>Bota com solado de borracha</t>
  </si>
  <si>
    <t>SF-00828</t>
  </si>
  <si>
    <t>Bota de borracha de cano longo</t>
  </si>
  <si>
    <t>SF-00829</t>
  </si>
  <si>
    <t>Capa de chuva</t>
  </si>
  <si>
    <t>SF-00830</t>
  </si>
  <si>
    <t>Capacete de segurança</t>
  </si>
  <si>
    <t>SF-00831</t>
  </si>
  <si>
    <t>Cinto de segurança tipo paraquedista</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</si>
  <si>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</si>
  <si>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</si>
  <si>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</si>
  <si>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</si>
  <si>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</si>
  <si>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</si>
  <si>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</si>
  <si>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</si>
  <si>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</si>
  <si>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 com proteção lateral total</t>
  </si>
  <si>
    <t>SF-00837</t>
  </si>
  <si>
    <t>Protetor auditivo flexível de inserção</t>
  </si>
  <si>
    <t>SF-00838</t>
  </si>
  <si>
    <t>Protetor Facial</t>
  </si>
  <si>
    <t>SF-00839</t>
  </si>
  <si>
    <t>Talabarte de Posicionamento (Restrição de Movimento)</t>
  </si>
  <si>
    <t>SF-00840</t>
  </si>
  <si>
    <t>Talabarte em Y</t>
  </si>
  <si>
    <t>SF-00841</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</si>
  <si>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</si>
  <si>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</si>
  <si>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</si>
  <si>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</si>
  <si>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</si>
  <si>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</si>
  <si>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</si>
  <si>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</si>
  <si>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SF-00847</t>
  </si>
  <si>
    <t>Corte em vidro ou espelho reaproveitado</t>
  </si>
  <si>
    <t>SF-00848</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</si>
  <si>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</si>
  <si>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</si>
  <si>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</si>
  <si>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</si>
  <si>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</si>
  <si>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</si>
  <si>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</si>
  <si>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</si>
  <si>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</si>
  <si>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</si>
  <si>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</si>
  <si>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</si>
  <si>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</si>
  <si>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</si>
  <si>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</si>
  <si>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</si>
  <si>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</si>
  <si>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</si>
  <si>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1,58mm</t>
  </si>
  <si>
    <t>Trilho superior em alumínio 60mm x 49,5mm, para vidro temperado</t>
  </si>
  <si>
    <t>Perfil em alumínio para acabamento de trilho superior</t>
  </si>
  <si>
    <t>Perfil guia inferior de alumínio 39,3 mm x 24 mm para vidro temperado 10mm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</si>
  <si>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</si>
  <si>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</si>
  <si>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</si>
  <si>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</si>
  <si>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</si>
  <si>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</si>
  <si>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</si>
  <si>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</si>
  <si>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</si>
  <si>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</si>
  <si>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</si>
  <si>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SF-00882</t>
  </si>
  <si>
    <t>Suporte tipo “Spiderglass” para vidro temperado</t>
  </si>
  <si>
    <t>Dobradiça automática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</si>
  <si>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</si>
  <si>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</si>
  <si>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</si>
  <si>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</si>
  <si>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</si>
  <si>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</si>
  <si>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de latão - diâmetro 25mm</t>
  </si>
  <si>
    <t>Trinco sem miolo para vidro temperado</t>
  </si>
  <si>
    <t>Tubo de alumínio quadrado 50x50</t>
  </si>
  <si>
    <t>Veda fresta adesivo “E” branco</t>
  </si>
  <si>
    <t>Vedapress 10mm</t>
  </si>
  <si>
    <t>Regulagem de ferragens</t>
  </si>
  <si>
    <t>Vidro fumê / bronze temperado 10mm</t>
  </si>
  <si>
    <t>Puxador em aço inox sob medida – Tipo B</t>
  </si>
  <si>
    <t>Armação de aço CA-50 bitolas de 5,0mm a 8,00mm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</si>
  <si>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</si>
  <si>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</si>
  <si>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</si>
  <si>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</si>
  <si>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</si>
  <si>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</si>
  <si>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</si>
  <si>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</si>
  <si>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</si>
  <si>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</si>
  <si>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</si>
  <si>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Vidro fantasia 4mm (canelado, martelado, pontilhado e mini-boreal)</t>
  </si>
  <si>
    <t>Vidro fumê/bronze 5mm</t>
  </si>
  <si>
    <t>Recuperação de massa em esquadria metálica</t>
  </si>
  <si>
    <t>Instalação de espelho reaproveitado</t>
  </si>
  <si>
    <t>Finesson (parafuso de fixação francês)</t>
  </si>
  <si>
    <t>Graute industrializado, fck ≥ 25MPa</t>
  </si>
  <si>
    <t>Armação de aço CA-50 bitolas de 10,0mm a 12,50mm</t>
  </si>
  <si>
    <t>Armação de aço CA-50 bitolas de 16,0mm a 25,0mm</t>
  </si>
  <si>
    <t>Remoção de mola hidráulica de piso</t>
  </si>
  <si>
    <t>Escavação manual de valas</t>
  </si>
  <si>
    <t>Reaterro de vala com compactação mecanizada</t>
  </si>
  <si>
    <t>Aterro de vala com compactação mecanizada</t>
  </si>
  <si>
    <t>Tubo de cobre classe "E" 22mm</t>
  </si>
  <si>
    <t>Tubo de cobre classe "E" 28 mm</t>
  </si>
  <si>
    <t>Tubo de cobre classe "E" 42mm</t>
  </si>
  <si>
    <t>Bacia convencional - Linha Acessibilidade</t>
  </si>
  <si>
    <t>Assento para bacia convencional - Linha Acessibilidade</t>
  </si>
  <si>
    <t>Base registro de gaveta 1 1/2”</t>
  </si>
  <si>
    <t>Condutor 25mm²</t>
  </si>
  <si>
    <t>Condutor 35mm²</t>
  </si>
  <si>
    <t>Condutor 50mm²</t>
  </si>
  <si>
    <t>Condutor 70mm²</t>
  </si>
  <si>
    <t>Condutor 95mm²</t>
  </si>
  <si>
    <t>Condutor 120mm²</t>
  </si>
  <si>
    <t>Condutor 150mm²</t>
  </si>
  <si>
    <t>Condutor 185mm²</t>
  </si>
  <si>
    <t>Condutor 240mm²</t>
  </si>
  <si>
    <t>Montagem e desmontagem de andaime fachadeiro</t>
  </si>
  <si>
    <t>Montagem e desmontagem de andaime tubular</t>
  </si>
  <si>
    <t>SF-00939</t>
  </si>
  <si>
    <t>Tensor com indicador de tensão para linha de vida</t>
  </si>
  <si>
    <t>Locação de fechamento para andaimes com tela 100% polietileno</t>
  </si>
  <si>
    <t>SF-00941</t>
  </si>
  <si>
    <t>Plataforma de trabalho aéreo tesoura</t>
  </si>
  <si>
    <t>Remoção de folha de porta de enrolar</t>
  </si>
  <si>
    <t>Base registro de gaveta 1"</t>
  </si>
  <si>
    <t>Base registro de pressão 3/4"</t>
  </si>
  <si>
    <t>SF-00945</t>
  </si>
  <si>
    <t>Porta para box de banheiro em laminado estrutural</t>
  </si>
  <si>
    <t>Tampa em ferro fundido T33</t>
  </si>
  <si>
    <t>Arquiteto(a) com experiência em intervenção no patrimônio cultural</t>
  </si>
  <si>
    <t xml:space="preserve">hh </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</si>
  <si>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</si>
  <si>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</si>
  <si>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</si>
  <si>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</si>
  <si>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</si>
  <si>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</si>
  <si>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</si>
  <si>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</si>
  <si>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</si>
  <si>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</si>
  <si>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</si>
  <si>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</si>
  <si>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</si>
  <si>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</si>
  <si>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</si>
  <si>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</si>
  <si>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</si>
  <si>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SF-00963</t>
  </si>
  <si>
    <t>Fixadores metálicos para rochas ornamentais, sob medida</t>
  </si>
  <si>
    <t>Mármore Branco Especial 20mm argamassado (Ed. Principal e Anexo 1)</t>
  </si>
  <si>
    <t>Mármore Branco Especial 20mm com inserts e argamassa (Ed. Principal e Anexo 1)</t>
  </si>
  <si>
    <t>Mármore Branco Especial 30mm argamassado (Ed. Principal e Anexo 1)</t>
  </si>
  <si>
    <t>Mármore Branco Especial 30mm com inserts e argamassa (Ed. Principal e Anexo 1)</t>
  </si>
  <si>
    <t>Mármore branco especial, e=30mm, instalação em fixadores metálicos existentes (modelo Edifício Principal)</t>
  </si>
  <si>
    <t>SF-00969</t>
  </si>
  <si>
    <t>Instalação de placas de mármore 30mm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</si>
  <si>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</si>
  <si>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</si>
  <si>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</si>
  <si>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</si>
  <si>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</si>
  <si>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</si>
  <si>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</si>
  <si>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Junta de movimentação em fachada</t>
  </si>
  <si>
    <t>Adesivo Selante Poliuretano – fornecimento e aplicação</t>
  </si>
  <si>
    <t>SF-00979</t>
  </si>
  <si>
    <t>Esquadria para fachada do Bloco 14</t>
  </si>
  <si>
    <t>Chuveiro elétrico</t>
  </si>
  <si>
    <t>Base para pavimentação com concreto magro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</si>
  <si>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</si>
  <si>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</si>
  <si>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</si>
  <si>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</si>
  <si>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</si>
  <si>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</si>
  <si>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</si>
  <si>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</si>
  <si>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</si>
  <si>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</si>
  <si>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</si>
  <si>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</si>
  <si>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</si>
  <si>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</si>
  <si>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</si>
  <si>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SF-00993</t>
  </si>
  <si>
    <t>Carpete aveludado azul royal</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</si>
  <si>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</si>
  <si>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</si>
  <si>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</si>
  <si>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</si>
  <si>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</si>
  <si>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</si>
  <si>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</si>
  <si>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</si>
  <si>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</si>
  <si>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 xml:space="preserve">pavimento </t>
  </si>
  <si>
    <t>SF-00999</t>
  </si>
  <si>
    <t>Trava quedas retrátil</t>
  </si>
  <si>
    <t>SF-01000</t>
  </si>
  <si>
    <t>Corda de poliéster 8mm</t>
  </si>
  <si>
    <t>Locação de Container - Escritório</t>
  </si>
  <si>
    <t xml:space="preserve">mês </t>
  </si>
  <si>
    <t>SF-01002</t>
  </si>
  <si>
    <t>Dobradiça Piano</t>
  </si>
  <si>
    <t>SF-01003</t>
  </si>
  <si>
    <t>Compensado Laminado de Imbuia em duas faces - 04 mm</t>
  </si>
  <si>
    <t>SF-01004</t>
  </si>
  <si>
    <t>Compensado Laminado de Imbuia em duas faces - 10 mm</t>
  </si>
  <si>
    <t>SF-01005</t>
  </si>
  <si>
    <t>Compensado Laminado de Freijó em duas faces - 04 mm</t>
  </si>
  <si>
    <t>SF-01006</t>
  </si>
  <si>
    <t>Compensado Laminado de Freijó em duas faces - 10 mm</t>
  </si>
  <si>
    <t>SF-01007</t>
  </si>
  <si>
    <t>Painel de MDF Laminado – Ovo - 25mm</t>
  </si>
  <si>
    <t>SF-01008</t>
  </si>
  <si>
    <t>Rodízio Giratório sem Freio - 2 Polegadas</t>
  </si>
  <si>
    <t>SF-01009</t>
  </si>
  <si>
    <t>Estrutura metálica em aço – Bloco 19 (Centro de Treinamento)</t>
  </si>
  <si>
    <t>SF-01010</t>
  </si>
  <si>
    <t>Mão francesa metálica</t>
  </si>
  <si>
    <t>Abertura/fechamento de rasgo em concreto</t>
  </si>
  <si>
    <t>Recomposição de rejuntamento sobre revestimentos</t>
  </si>
  <si>
    <t>Impermeabilização de revestimentos em pedra</t>
  </si>
  <si>
    <t>Piso vinílico semiflexível</t>
  </si>
  <si>
    <t>SF-01015</t>
  </si>
  <si>
    <t>Porta metálica de giro com dimensões 0,92 x 2,20m</t>
  </si>
  <si>
    <t>SF-01016</t>
  </si>
  <si>
    <t>Porta metálica de giro com dimensões 0,92 x 2,35 m</t>
  </si>
  <si>
    <t>SF-01017</t>
  </si>
  <si>
    <t>Esquadria metálica de 4 folhas fixas com dimensões de 5,30x1,00m – Bloco 19 (Centro de Treinamento)</t>
  </si>
  <si>
    <t>SF-01018</t>
  </si>
  <si>
    <t>Esquadria metálica de 3 folhas, sendo 2 folhas fixas e 1 de correr com dimensões de 4,10x1,15m – Bloco 19 (Centro de Treinamento)</t>
  </si>
  <si>
    <t>SF-01019</t>
  </si>
  <si>
    <t>Esquadria metálica de 4 folhas, sendo 2 folhas fixas e 2 folhas de correr, com dimensões total de 5,15x1,00m  – Bloco 19 (Centro de Treinamento)</t>
  </si>
  <si>
    <t>SF-01020</t>
  </si>
  <si>
    <t>Esquadria metálica de 4 folhas, sendo 2 fixas e 2 de correr dimensões de 5,30x1,15m – Bloco 19 (Centro de Treinamento)</t>
  </si>
  <si>
    <t>SF-01021</t>
  </si>
  <si>
    <t>Esquadria metálica de 2 folhas basculante com dimensões de 2,31x0,45m – Bloco 19 (Centro de Treinamento)</t>
  </si>
  <si>
    <t>SF-01022</t>
  </si>
  <si>
    <t>Perfil Veneziana Enrijecido 70x19mm</t>
  </si>
  <si>
    <t>SF-01023</t>
  </si>
  <si>
    <t>Perfil U Enrijecido 150mm x 40mm x 15mm</t>
  </si>
  <si>
    <t>SF-01024</t>
  </si>
  <si>
    <t>Perfil Trilho Peitoril - 150mm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</si>
  <si>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</si>
  <si>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</si>
  <si>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</si>
  <si>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</si>
  <si>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</si>
  <si>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</si>
  <si>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</si>
  <si>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</si>
  <si>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</si>
  <si>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</si>
  <si>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</si>
  <si>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SF-01032</t>
  </si>
  <si>
    <t>Supervisor(a) de Obras e Manutenção – Apoio a Projetos de Obras – Arquitetura, civil e hidrossanitária</t>
  </si>
  <si>
    <t>SF-01033</t>
  </si>
  <si>
    <t>Supervisor de Obras e Manutenção - Apoio a Projetos e Obras - Eletromecânico</t>
  </si>
  <si>
    <t>SF-01034</t>
  </si>
  <si>
    <t>Supervisor de Obras e Manutenção – Apoio a projetos e obras - Orçamentos</t>
  </si>
  <si>
    <t>SF-01035</t>
  </si>
  <si>
    <t>Supervisor de Obras e Manutenção – Apoio de campo – Sistemas de climatização</t>
  </si>
  <si>
    <t>SF-01036</t>
  </si>
  <si>
    <t>Supervisor de Obras e Manutenção – Apoio de campo - Elevadores</t>
  </si>
  <si>
    <t>SF-01037</t>
  </si>
  <si>
    <t>Supervisor de Obras e Manutenção – Apoio de campo - Eletrotécnico</t>
  </si>
  <si>
    <t>SF-01038</t>
  </si>
  <si>
    <t>Supervisor de Obras e Manutenção – Apoio de Campo - Obras Civis</t>
  </si>
  <si>
    <t>SF-01039</t>
  </si>
  <si>
    <t>Supervisor de Obras e Manutenção – Apoio de Campo - Hidrossanitário</t>
  </si>
  <si>
    <t>SF-01040</t>
  </si>
  <si>
    <t>Supervisor de Obras e Manutenção – Apoio de campo – Planejamento</t>
  </si>
  <si>
    <t>Supervisor de Obras e Manutenção – Apoio de campo – Segurança do Trabalho</t>
  </si>
  <si>
    <t>SF-01042</t>
  </si>
  <si>
    <t>Máquina fotográfica digital</t>
  </si>
  <si>
    <t>SF-01043</t>
  </si>
  <si>
    <t>Trena de 100m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</si>
  <si>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</si>
  <si>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</si>
  <si>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</si>
  <si>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</si>
  <si>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</si>
  <si>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</si>
  <si>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</si>
  <si>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</si>
  <si>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</si>
  <si>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</si>
  <si>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</si>
  <si>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</si>
  <si>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</si>
  <si>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Multigás</t>
  </si>
  <si>
    <t>SF-01051</t>
  </si>
  <si>
    <t>Prancheta portátil A3</t>
  </si>
  <si>
    <t>SF-01052</t>
  </si>
  <si>
    <t>Luva isolante</t>
  </si>
  <si>
    <t xml:space="preserve">Reparo de placas de mármore com adesivo estrutural epóxi branco/transparente </t>
  </si>
  <si>
    <t>Perfil de chapa de aço galvanizado para esquadria (Anexo 1)</t>
  </si>
  <si>
    <t>SF-01055</t>
  </si>
  <si>
    <t>Modelagem, análise estrutural da edificação em programa computacional de análise estrutural e laudo com parecer técnico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</si>
  <si>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</si>
  <si>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</si>
  <si>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</si>
  <si>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</si>
  <si>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</si>
  <si>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</si>
  <si>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</si>
  <si>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</si>
  <si>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 duas seções, 120x60cm</t>
  </si>
  <si>
    <t>Porta metálica de enrolar</t>
  </si>
  <si>
    <t>Medidor de Gás</t>
  </si>
  <si>
    <t>Registro Esfera para Gás 3/4”</t>
  </si>
  <si>
    <t>Placa de Concreto Pré-Moldado 15 Mpa</t>
  </si>
  <si>
    <t>Eletroduto PEAD 3”</t>
  </si>
  <si>
    <t>SF-01067</t>
  </si>
  <si>
    <t>Caixa de Proteção para Alimentação de Gás</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</si>
  <si>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</si>
  <si>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</si>
  <si>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</si>
  <si>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</si>
  <si>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</si>
  <si>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</si>
  <si>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</si>
  <si>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</si>
  <si>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</si>
  <si>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</si>
  <si>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</si>
  <si>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</si>
  <si>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</si>
  <si>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</si>
  <si>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25mm</t>
  </si>
  <si>
    <t>SF-01081</t>
  </si>
  <si>
    <t>Tubo retangular em aço 100 x 50mm</t>
  </si>
  <si>
    <t>Alimentação para mão-de-obra indireta</t>
  </si>
  <si>
    <t>Transporte para mão-de-obra indireta</t>
  </si>
  <si>
    <t>SF-01084</t>
  </si>
  <si>
    <t>Transporte de andaime</t>
  </si>
  <si>
    <t>SF-01085</t>
  </si>
  <si>
    <t>Transporte de Container</t>
  </si>
  <si>
    <t>SF-01086</t>
  </si>
  <si>
    <t>Coifa Convencional Tipo Caixa para Cozinha Industrial - Bloco 15 (Espaço do Servidor)</t>
  </si>
  <si>
    <t>SF-01087</t>
  </si>
  <si>
    <t>Puxador com fecho embutido (punho) para janela metálica</t>
  </si>
  <si>
    <t>Cotovelo bolsa–bolsa 90° para solda em tubulação de cobre diâmetro de 1 3/8"</t>
  </si>
  <si>
    <t>Cotovelo bolsa–bolsa 90° para solda em tubulação de cobre diâmetro de 1 5/8"</t>
  </si>
  <si>
    <t>Cotovelo bolsa–bolsa 90° para solda em tubulação de cobre diâmetro de 7/8"</t>
  </si>
  <si>
    <t>SF-01091</t>
  </si>
  <si>
    <t>Painel metálico para retorno</t>
  </si>
  <si>
    <t>Luva bolsa–bolsa para solda em tubulação de cobre diâmetro de 1 3/8"</t>
  </si>
  <si>
    <t>Luva bolsa–bolsa para solda em tubulação de cobre diâmetro de 1 5/8"</t>
  </si>
  <si>
    <t>Luva bolsa–bolsa para solda em tubulação de cobre diâmetro de 7/8"</t>
  </si>
  <si>
    <t>SF-01095</t>
  </si>
  <si>
    <t>Ar condicionado unitário com compressor montado em condensadora remota, capacidade nominal 49 kW</t>
  </si>
  <si>
    <t>SF-01096</t>
  </si>
  <si>
    <t>Ar condicionado unitário com compressor montado em condensadora remota, capacidade nominal 64 kW</t>
  </si>
  <si>
    <t>Tubo de cobre rígido 1 3/8"</t>
  </si>
  <si>
    <t>Tubo de cobre rígido 1 5/8"</t>
  </si>
  <si>
    <t>SF-01099</t>
  </si>
  <si>
    <t>Porta metálica dupla de giro com dimensões 2,00 x 2,12 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</si>
  <si>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</si>
  <si>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</si>
  <si>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</si>
  <si>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</si>
  <si>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</si>
  <si>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</si>
  <si>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</si>
  <si>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</si>
  <si>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</si>
  <si>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</si>
  <si>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</si>
  <si>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Granitina para revestimento de pisos</t>
  </si>
  <si>
    <t>Piso vinílico flexível em manta</t>
  </si>
  <si>
    <t>Tratamento de juntas de dilatação ou movimentação</t>
  </si>
  <si>
    <t>Recuperação superficial de preparação para pintura epóxi de alto desempenho</t>
  </si>
  <si>
    <t>Lixamento, calafetação e aplicação de sinteco em piso de madeira - Linha Residencial</t>
  </si>
  <si>
    <t>Piso em taco de madeira - Linha Residencial</t>
  </si>
  <si>
    <t>Piso de borracha antiderrapante tipo moeda</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</si>
  <si>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</si>
  <si>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</si>
  <si>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</si>
  <si>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</si>
  <si>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</si>
  <si>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</si>
  <si>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Pintura Eletrostática</t>
  </si>
  <si>
    <t>Pintura com tinta acrílica (pisos)</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</si>
  <si>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</si>
  <si>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</si>
  <si>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</si>
  <si>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</si>
  <si>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</si>
  <si>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</si>
  <si>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</si>
  <si>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</si>
  <si>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t>
  </si>
  <si>
    <t>Telha metálica trapezoidal galvanizada - GR-40</t>
  </si>
  <si>
    <t>Cumeeira para telha metálica trapezoidal galvanizada - GR-40</t>
  </si>
  <si>
    <t>Telha metálica trapezoidal galvanizada - GR-25</t>
  </si>
  <si>
    <t>Cumeeira para telha metálica trapezoidal galvanizada - GR-25</t>
  </si>
  <si>
    <t>Telha de fibrocimento modulada - espessura 8mm</t>
  </si>
  <si>
    <t>Cumeeira articulada ABA SUPERIOR de fibrocimento para telha modulada - espessura 6 mm</t>
  </si>
  <si>
    <t>Cumeeira articulada ABA INFERIOR de fibrocimento para telha modulada - espessura 6 mm</t>
  </si>
  <si>
    <t>Telha de fibrocimento ondulada - espessura 6mm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</si>
  <si>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</si>
  <si>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</si>
  <si>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</si>
  <si>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</si>
  <si>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</si>
  <si>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</si>
  <si>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</si>
  <si>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</si>
  <si>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</si>
  <si>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</si>
  <si>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</si>
  <si>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</si>
  <si>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</si>
  <si>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</si>
  <si>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- 3cm</t>
  </si>
  <si>
    <t>Regularização de substrato para Impermeabilização - 6cm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</si>
  <si>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</si>
  <si>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</si>
  <si>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</si>
  <si>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</si>
  <si>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</si>
  <si>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</si>
  <si>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</si>
  <si>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</si>
  <si>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</si>
  <si>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Resina de Poliuretano para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</si>
  <si>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</si>
  <si>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</si>
  <si>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</si>
  <si>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</si>
  <si>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</si>
  <si>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Concreto leve com poliestireno expandido</t>
  </si>
  <si>
    <t>Colagem da camada de proteção térmica de impermeabilização</t>
  </si>
  <si>
    <t>Impermeabilização com Membrana de Poliuretano</t>
  </si>
  <si>
    <t>Impermeabilização com Manta Asfáltica</t>
  </si>
  <si>
    <t>Impermeabilização com manta asfáltica aluminizada</t>
  </si>
  <si>
    <t>Impermeabilização com manta elastomérica de etileno-propileno-dieno-monômero (EPDM)</t>
  </si>
  <si>
    <t>Impermeabilização com membrana acrílica</t>
  </si>
  <si>
    <t>Asfalto elastomérico para colagem de manta asfáltica</t>
  </si>
  <si>
    <t>Impermeabilização com manta dupla (com maçarico)</t>
  </si>
  <si>
    <t>Impermeabilização com manta dupla (com asfalto elastomérico)</t>
  </si>
  <si>
    <t>SF-01178</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</si>
  <si>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</si>
  <si>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</si>
  <si>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</si>
  <si>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</si>
  <si>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</si>
  <si>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</si>
  <si>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</si>
  <si>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</si>
  <si>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</si>
  <si>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SF-01184</t>
  </si>
  <si>
    <t>Calha em chapa de zinco # 24 - Modelo 1</t>
  </si>
  <si>
    <t>SF-01185</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</si>
  <si>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</si>
  <si>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</si>
  <si>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</si>
  <si>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</si>
  <si>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</si>
  <si>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</si>
  <si>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</si>
  <si>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</si>
  <si>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</si>
  <si>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</si>
  <si>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</si>
  <si>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</si>
  <si>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</si>
  <si>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</si>
  <si>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Conjunto de chaves allen CURTAS</t>
  </si>
  <si>
    <t>SF-01193</t>
  </si>
  <si>
    <t>Conjunto de chaves allen LONGAS</t>
  </si>
  <si>
    <t>SF-01194</t>
  </si>
  <si>
    <t>Conjunto de chaves de boca de 6 a 36 mm</t>
  </si>
  <si>
    <t>SF-01195</t>
  </si>
  <si>
    <t>Conjunto de chaves de boca de 1/4" a 1 1/2"</t>
  </si>
  <si>
    <t>SF-01196</t>
  </si>
  <si>
    <t>Conjunto de escovas de aço (pequena, média e grande)</t>
  </si>
  <si>
    <t>SF-01197</t>
  </si>
  <si>
    <t>Marreta de 2 kg</t>
  </si>
  <si>
    <t>SF-01198</t>
  </si>
  <si>
    <t>Marreta de 5 kg</t>
  </si>
  <si>
    <t>SF-01199</t>
  </si>
  <si>
    <t>Marreta de 10 kg</t>
  </si>
  <si>
    <t>SF-01200</t>
  </si>
  <si>
    <t>Conjunto Pé de cabra 15" x 16mm e 24" x 19mm</t>
  </si>
  <si>
    <t>SF-01201</t>
  </si>
  <si>
    <t>Conjunto de talhadeiras e ponteiro SIMPLES</t>
  </si>
  <si>
    <t>SF-01202</t>
  </si>
  <si>
    <t>Serra copo diamantada (conjunto de 1/2" a 1 1/2")</t>
  </si>
  <si>
    <t>SF-01203</t>
  </si>
  <si>
    <t>Cortadora de Piso a Gasolina</t>
  </si>
  <si>
    <t>SF-01204</t>
  </si>
  <si>
    <t>Cortadora de Parede</t>
  </si>
  <si>
    <t>SF-01205</t>
  </si>
  <si>
    <t>Enxada com cabo (2,5 libras)</t>
  </si>
  <si>
    <t>SF-01206</t>
  </si>
  <si>
    <t>Escada extensível de alumínio dupla 2x8</t>
  </si>
  <si>
    <t>SF-01207</t>
  </si>
  <si>
    <t>Escada extensível de alumínio dupla 2x12</t>
  </si>
  <si>
    <t>SF-01208</t>
  </si>
  <si>
    <t>Escada tipo tesoura duplo acesso de fibra com 12 degraus</t>
  </si>
  <si>
    <t>SF-01209</t>
  </si>
  <si>
    <t>Exaustor para Trabalho em Espaço Confinado</t>
  </si>
  <si>
    <t>SF-01210</t>
  </si>
  <si>
    <t>Furadeira/Parafusadeira elétrica</t>
  </si>
  <si>
    <t>SF-01211</t>
  </si>
  <si>
    <t>Furadeira de impacto/parafusadeira à bateria</t>
  </si>
  <si>
    <t>SF-01212</t>
  </si>
  <si>
    <t>Jogo de Bits pontas e soquetes para Furadeira/ Parafusadeira</t>
  </si>
  <si>
    <t>SF-01213</t>
  </si>
  <si>
    <t>Jogo de chaves Torx com 9 Peças</t>
  </si>
  <si>
    <t>SF-01214</t>
  </si>
  <si>
    <t>Mangueira de nível de 20m</t>
  </si>
  <si>
    <t>SF-01215</t>
  </si>
  <si>
    <t>Martelete demolidor 1kW (5 Kg)</t>
  </si>
  <si>
    <t>SF-01216</t>
  </si>
  <si>
    <t>Pistola aplicadora de silicone e PU</t>
  </si>
  <si>
    <t>SF-01217</t>
  </si>
  <si>
    <t>Serra mármore</t>
  </si>
  <si>
    <t>SF-01218</t>
  </si>
  <si>
    <t>Serrote para gesso</t>
  </si>
  <si>
    <t>SF-01219</t>
  </si>
  <si>
    <t>Talha Manual para Elevação de Cargas (2 ton)</t>
  </si>
  <si>
    <t>SF-01220</t>
  </si>
  <si>
    <t>Veículo do tipo utilitário para transporte de mercadorias</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</si>
  <si>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</si>
  <si>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</si>
  <si>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</si>
  <si>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</si>
  <si>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</si>
  <si>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</si>
  <si>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</si>
  <si>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</si>
  <si>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SF-01225</t>
  </si>
  <si>
    <t>Manta autocolante aluminizada</t>
  </si>
  <si>
    <t>SF-01226</t>
  </si>
  <si>
    <t>Primer para aplicação de manta autocolante aluminizada</t>
  </si>
  <si>
    <t>SF-01227</t>
  </si>
  <si>
    <t>Estudo de Viabilidade Técnica, Laudo Técnico, Projeto Executivo, Projeto de Segurança do Trabalho, Planejamento da Obra e Plano de Manutenção – Modernização de Elevadores na SQS309</t>
  </si>
  <si>
    <t>SF-01228</t>
  </si>
  <si>
    <t>Serviços Preliminares (instalação de canteiro, mobilização de equipamentos e mão de obra e substituição de infraestrutura elétrica nos Blocos C e G) – Modernização de Elevadores na SQS309</t>
  </si>
  <si>
    <t>SF-01229</t>
  </si>
  <si>
    <t>Substituição de infraestrutura elétrica no Bloco D – Modernização de Elevadores na SQS309</t>
  </si>
  <si>
    <t>SF-01230</t>
  </si>
  <si>
    <t>Modernização dos elevadores dos Blocos C, D e G da SQS 309</t>
  </si>
  <si>
    <t>SF-01231</t>
  </si>
  <si>
    <t>Serviços de Assistência Técnica – Modernização de Elevadores na SQS309</t>
  </si>
  <si>
    <t>Carpete aveludado azul royal - fornecimento e instalação</t>
  </si>
  <si>
    <t>Demolição de revestimento de piso têxtil (carpete)</t>
  </si>
  <si>
    <t>SF-01234</t>
  </si>
  <si>
    <t>Tapume/cortina de proteção para solda com suporte</t>
  </si>
  <si>
    <t>BENEFÍCIOS E DESPESAS INDIRETAS - BDI</t>
  </si>
  <si>
    <t>BDI Edificações</t>
  </si>
  <si>
    <t>BDI mero fornecimento</t>
  </si>
  <si>
    <t>Componentes do BDI</t>
  </si>
  <si>
    <t>Cálculo sem CPRB</t>
  </si>
  <si>
    <t>Cálculo com CPRB</t>
  </si>
  <si>
    <t>não-desonerado</t>
  </si>
  <si>
    <t>desonerado</t>
  </si>
  <si>
    <t>% considerado</t>
  </si>
  <si>
    <t>AC</t>
  </si>
  <si>
    <t>S+G</t>
  </si>
  <si>
    <t>R</t>
  </si>
  <si>
    <t>DF</t>
  </si>
  <si>
    <t>PIS</t>
  </si>
  <si>
    <t>COFINS</t>
  </si>
  <si>
    <t>CPRB</t>
  </si>
  <si>
    <t>ISS</t>
  </si>
  <si>
    <t>Referências TCU - BDI Edificações</t>
  </si>
  <si>
    <t>Referências TCU - BDI mero fornecimento</t>
  </si>
  <si>
    <t>1º Quartil</t>
  </si>
  <si>
    <t>Médio</t>
  </si>
  <si>
    <t>3º Quartil</t>
  </si>
  <si>
    <r>
      <t xml:space="preserve">Fontes: </t>
    </r>
    <r>
      <rPr>
        <sz val="12"/>
        <rFont val="Arial"/>
        <family val="2"/>
      </rPr>
      <t>Acórdãos 2.369/2011-TCU-Plenário e 2.622/2013-TCU-Plenário.</t>
    </r>
  </si>
  <si>
    <t>Pini 13.109.000023.MAT</t>
  </si>
  <si>
    <t>Pini 13.109.000022.MAT</t>
  </si>
  <si>
    <t>Pini 27.103.000260.MAT</t>
  </si>
  <si>
    <t>Pini 27.103.000340.MAT</t>
  </si>
  <si>
    <t>Pini 27.103.000320.MAT Adaptada</t>
  </si>
  <si>
    <t>Pini 27.103.000400.MAT</t>
  </si>
  <si>
    <t>Pini 27.103.000480.MAT</t>
  </si>
  <si>
    <t>Pini 27.103.000300.MAT</t>
  </si>
  <si>
    <t>Pini 27.104.000130.MAT</t>
  </si>
  <si>
    <t>Pini 05.102.000020.MAT</t>
  </si>
  <si>
    <t>Pini 10.104.000010.MAT</t>
  </si>
  <si>
    <t>Pini 16.111.001107.MAT</t>
  </si>
  <si>
    <t>Pini 22.145.000025.SER + Pini 24.104.000070.SER Adaptada</t>
  </si>
  <si>
    <t>Pini 24.104.000070.SER</t>
  </si>
  <si>
    <t>Data: Julho de 2020</t>
  </si>
  <si>
    <t>Reforma do Espaço do Servidor - 1ª etapa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</si>
</sst>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R$&quot;\ * #,##0.00_-;\-&quot;R$&quot;\ * #,##0.00_-;_-&quot;R$&quot;\ * &quot;-&quot;??_-;_-@_-"/>
    <numFmt numFmtId="43" formatCode="_-* #,##0.00_-;\-* #,##0.00_-;_-* &quot;-&quot;??_-;_-@_-"/>
    <numFmt numFmtId="164" formatCode="_-&quot;R$&quot;* #,##0.00_-;\-&quot;R$&quot;* #,##0.00_-;_-&quot;R$&quot;* &quot;-&quot;??_-;_-@_-"/>
    <numFmt numFmtId="167" formatCode="_(* #,##0.00_);_(* \(#,##0.00\);_(* \-??_);_(@_)"/>
    <numFmt numFmtId="168" formatCode="_(&quot;R$&quot;* #,##0.00_);_(&quot;R$&quot;* \(#,##0.00\);_(&quot;R$&quot;* &quot;-&quot;??_);_(@_)"/>
    <numFmt numFmtId="169" formatCode="0.0000"/>
    <numFmt numFmtId="170" formatCode="#,##0.0000"/>
    <numFmt numFmtId="171" formatCode="_(* #,##0.00_);_(* \(#,##0.00\);_(* &quot;-&quot;??_);_(@_)"/>
    <numFmt numFmtId="172" formatCode="&quot;Sinapi &quot;00000"/>
    <numFmt numFmtId="174" formatCode="#,##0.0000000"/>
    <numFmt numFmtId="175" formatCode="&quot;Data-base SINAPI&quot;\ mm/yyyy"/>
    <numFmt numFmtId="176" formatCode="#,##0.00;;"/>
    <numFmt numFmtId="177" formatCode="#,##0;;"/>
    <numFmt numFmtId="178" formatCode="&quot;R$&quot;\ #,##0.00;[Red]&quot;R$&quot;\ #,##0.00"/>
    <numFmt numFmtId="183" formatCode="_([$R$ -416]* #,##0.00_);_([$R$ -416]* \(#,##0.00\);_([$R$ -416]* &quot;-&quot;??_);_(@_)"/>
  </numFmts>
  <fonts count="35"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sz val="9"/>
      <color indexed="81"/>
      <name val="Segoe UI"/>
      <family val="2"/>
    </font>
    <font>
      <b/>
      <sz val="14"/>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b/>
      <sz val="11"/>
      <color rgb="FFFF0000"/>
      <name val="Arial"/>
      <family val="2"/>
    </font>
    <font>
      <b/>
      <sz val="10"/>
      <color theme="1"/>
      <name val="Arial"/>
      <family val="2"/>
    </font>
    <font>
      <u/>
      <sz val="8"/>
      <color indexed="12"/>
      <name val="Arial"/>
      <family val="2"/>
    </font>
    <font>
      <u/>
      <sz val="9"/>
      <color indexed="12"/>
      <name val="Arial"/>
      <family val="2"/>
    </font>
    <font>
      <sz val="11"/>
      <name val="Verdana"/>
      <family val="2"/>
    </font>
    <font>
      <sz val="11"/>
      <name val="Arial"/>
      <family val="2"/>
    </font>
    <font>
      <b/>
      <sz val="11"/>
      <color theme="0"/>
      <name val="Arial"/>
      <family val="2"/>
    </font>
    <font>
      <b/>
      <u/>
      <sz val="11"/>
      <color theme="1"/>
      <name val="Arial"/>
      <family val="2"/>
    </font>
    <font>
      <b/>
      <u/>
      <sz val="10"/>
      <color theme="1"/>
      <name val="Arial"/>
      <family val="2"/>
    </font>
    <font>
      <sz val="10"/>
      <color theme="1"/>
      <name val="Arial"/>
      <family val="2"/>
    </font>
    <font>
      <sz val="10"/>
      <name val="Arial"/>
    </font>
    <font>
      <u/>
      <sz val="7.5"/>
      <color indexed="12"/>
      <name val="Arial"/>
      <family val="2"/>
    </font>
    <font>
      <u/>
      <sz val="10"/>
      <color theme="10"/>
      <name val="Arial"/>
      <family val="2"/>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s>
  <borders count="3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s>
  <cellStyleXfs count="213">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7" fontId="2" fillId="0" borderId="0" applyFont="0" applyFill="0" applyAlignment="0" applyProtection="0"/>
    <xf numFmtId="168" fontId="2" fillId="0" borderId="0" applyFont="0" applyFill="0" applyBorder="0" applyAlignment="0" applyProtection="0"/>
    <xf numFmtId="0" fontId="11" fillId="0" borderId="0" applyNumberFormat="0" applyFill="0" applyBorder="0" applyAlignment="0" applyProtection="0"/>
    <xf numFmtId="0" fontId="32" fillId="0" borderId="0">
      <protection locked="0"/>
    </xf>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83" fontId="2" fillId="0" borderId="0"/>
    <xf numFmtId="0" fontId="2" fillId="0" borderId="0"/>
    <xf numFmtId="0" fontId="2" fillId="0" borderId="0">
      <protection locked="0"/>
    </xf>
    <xf numFmtId="183" fontId="1"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33" fillId="0" borderId="0" applyNumberFormat="0" applyFill="0" applyBorder="0" applyAlignment="0" applyProtection="0">
      <alignment vertical="top"/>
      <protection locked="0"/>
    </xf>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protection locked="0"/>
    </xf>
    <xf numFmtId="164" fontId="2" fillId="0" borderId="0" applyFont="0" applyFill="0" applyBorder="0" applyAlignment="0" applyProtection="0"/>
    <xf numFmtId="43" fontId="2" fillId="0" borderId="0" applyFont="0" applyFill="0" applyBorder="0" applyAlignment="0" applyProtection="0"/>
    <xf numFmtId="0" fontId="34" fillId="0" borderId="0" applyNumberFormat="0" applyFill="0" applyBorder="0" applyAlignment="0" applyProtection="0">
      <protection locked="0"/>
    </xf>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183"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3"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317">
    <xf numFmtId="0" fontId="0" fillId="0" borderId="0" xfId="0"/>
    <xf numFmtId="0" fontId="2" fillId="0" borderId="0" xfId="0" applyFont="1"/>
    <xf numFmtId="0" fontId="3" fillId="0" borderId="0" xfId="0" applyFont="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0" fillId="0" borderId="0" xfId="0" applyAlignment="1">
      <alignment wrapText="1"/>
    </xf>
    <xf numFmtId="0" fontId="12" fillId="0" borderId="0" xfId="0" applyFont="1" applyAlignment="1">
      <alignment horizontal="centerContinuous" vertical="distributed"/>
    </xf>
    <xf numFmtId="2" fontId="14" fillId="0" borderId="0" xfId="0" applyNumberFormat="1" applyFont="1" applyAlignment="1">
      <alignment horizontal="center" vertical="center" wrapText="1"/>
    </xf>
    <xf numFmtId="0" fontId="16" fillId="0" borderId="0" xfId="0" applyFont="1" applyAlignment="1">
      <alignment horizontal="centerContinuous" vertical="center" wrapText="1"/>
    </xf>
    <xf numFmtId="0" fontId="17" fillId="0" borderId="0" xfId="0" applyFont="1" applyAlignment="1">
      <alignment horizontal="centerContinuous" vertical="center" wrapText="1"/>
    </xf>
    <xf numFmtId="9" fontId="9" fillId="0" borderId="0" xfId="0" applyNumberFormat="1" applyFont="1" applyAlignment="1">
      <alignment horizontal="center" vertical="center" wrapText="1"/>
    </xf>
    <xf numFmtId="0" fontId="19" fillId="0" borderId="14" xfId="0" applyFont="1" applyBorder="1" applyAlignment="1">
      <alignment horizontal="center" vertical="center" wrapText="1"/>
    </xf>
    <xf numFmtId="2" fontId="23" fillId="3" borderId="12" xfId="0" applyNumberFormat="1" applyFont="1" applyFill="1" applyBorder="1" applyAlignment="1">
      <alignment horizontal="center" vertical="center" wrapText="1"/>
    </xf>
    <xf numFmtId="0" fontId="3" fillId="0" borderId="10" xfId="3" applyFont="1" applyBorder="1" applyAlignment="1">
      <alignment horizontal="center" vertical="center" wrapText="1"/>
    </xf>
    <xf numFmtId="169" fontId="3" fillId="0" borderId="10" xfId="3" applyNumberFormat="1" applyFont="1" applyBorder="1" applyAlignment="1">
      <alignment vertical="center" wrapText="1"/>
    </xf>
    <xf numFmtId="2" fontId="3" fillId="0" borderId="10" xfId="3" applyNumberFormat="1" applyFont="1" applyBorder="1" applyAlignment="1">
      <alignment horizontal="center" vertical="center" wrapText="1"/>
    </xf>
    <xf numFmtId="0" fontId="3" fillId="0" borderId="10" xfId="3" applyFont="1" applyBorder="1" applyAlignment="1">
      <alignment vertical="center" wrapText="1"/>
    </xf>
    <xf numFmtId="0" fontId="3" fillId="0" borderId="6" xfId="3" applyFont="1" applyBorder="1" applyAlignment="1">
      <alignment vertical="center" wrapText="1"/>
    </xf>
    <xf numFmtId="0" fontId="3" fillId="0" borderId="0" xfId="3" applyFont="1" applyAlignment="1">
      <alignment vertical="center" wrapText="1"/>
    </xf>
    <xf numFmtId="168" fontId="2" fillId="0" borderId="0" xfId="5" applyFont="1" applyFill="1" applyBorder="1" applyAlignment="1" applyProtection="1">
      <alignment horizontal="center" vertical="center" wrapText="1"/>
    </xf>
    <xf numFmtId="0" fontId="2" fillId="0" borderId="0" xfId="3" applyAlignment="1">
      <alignment vertical="center" wrapText="1"/>
    </xf>
    <xf numFmtId="169" fontId="2" fillId="0" borderId="0" xfId="3" applyNumberFormat="1" applyAlignment="1">
      <alignment vertical="center" wrapText="1"/>
    </xf>
    <xf numFmtId="2" fontId="2" fillId="0" borderId="0" xfId="3" applyNumberFormat="1" applyAlignment="1">
      <alignment horizontal="center" vertical="center" wrapText="1"/>
    </xf>
    <xf numFmtId="168" fontId="2" fillId="0" borderId="0" xfId="5" applyFont="1" applyBorder="1" applyAlignment="1" applyProtection="1">
      <alignment horizontal="center" vertical="center" wrapText="1"/>
    </xf>
    <xf numFmtId="168" fontId="2" fillId="0" borderId="20" xfId="5" applyFont="1" applyFill="1" applyBorder="1" applyAlignment="1" applyProtection="1">
      <alignment horizontal="center" vertical="center" wrapText="1"/>
    </xf>
    <xf numFmtId="0" fontId="2" fillId="0" borderId="0" xfId="0" applyFont="1" applyAlignment="1">
      <alignment horizontal="center" vertical="center" wrapText="1"/>
    </xf>
    <xf numFmtId="169"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8" fontId="7" fillId="4" borderId="20" xfId="5" applyFont="1" applyFill="1" applyBorder="1" applyAlignment="1" applyProtection="1">
      <alignment horizontal="center" vertical="center" wrapText="1"/>
    </xf>
    <xf numFmtId="168" fontId="7" fillId="0" borderId="0" xfId="5" applyFont="1" applyFill="1" applyBorder="1" applyAlignment="1" applyProtection="1">
      <alignment horizontal="center" vertical="center" wrapText="1"/>
    </xf>
    <xf numFmtId="0" fontId="3" fillId="0" borderId="5" xfId="3" applyFont="1" applyBorder="1" applyAlignment="1">
      <alignment horizontal="center" vertical="center" wrapText="1"/>
    </xf>
    <xf numFmtId="168" fontId="3" fillId="0" borderId="10" xfId="3" applyNumberFormat="1" applyFont="1" applyBorder="1" applyAlignment="1">
      <alignment vertical="center" wrapText="1"/>
    </xf>
    <xf numFmtId="168" fontId="2" fillId="0" borderId="0" xfId="5" applyFont="1" applyFill="1" applyBorder="1" applyAlignment="1" applyProtection="1">
      <alignment vertical="center" wrapText="1"/>
    </xf>
    <xf numFmtId="168" fontId="7" fillId="0" borderId="20" xfId="5" applyFont="1" applyFill="1" applyBorder="1" applyAlignment="1" applyProtection="1">
      <alignment horizontal="center" vertical="center" wrapText="1"/>
    </xf>
    <xf numFmtId="168" fontId="3" fillId="0" borderId="20" xfId="5" applyFont="1" applyFill="1" applyBorder="1" applyAlignment="1" applyProtection="1">
      <alignment horizontal="center" vertical="center" wrapText="1"/>
    </xf>
    <xf numFmtId="168" fontId="3" fillId="0" borderId="0" xfId="5" applyFont="1" applyFill="1" applyBorder="1" applyAlignment="1" applyProtection="1">
      <alignment horizontal="center" vertical="center" wrapText="1"/>
    </xf>
    <xf numFmtId="171" fontId="2" fillId="0" borderId="0" xfId="0" applyNumberFormat="1" applyFont="1" applyAlignment="1">
      <alignment horizontal="center" vertical="center" wrapText="1"/>
    </xf>
    <xf numFmtId="2" fontId="3" fillId="0" borderId="10" xfId="3" applyNumberFormat="1" applyFont="1" applyBorder="1" applyAlignment="1">
      <alignment horizontal="center" wrapText="1"/>
    </xf>
    <xf numFmtId="2" fontId="2" fillId="0" borderId="0" xfId="0" quotePrefix="1" applyNumberFormat="1" applyFont="1" applyAlignment="1">
      <alignment horizontal="center" vertical="center" wrapText="1"/>
    </xf>
    <xf numFmtId="0" fontId="3" fillId="0" borderId="0" xfId="0" applyFont="1" applyAlignment="1">
      <alignment horizontal="center" vertical="center" wrapText="1"/>
    </xf>
    <xf numFmtId="168" fontId="3" fillId="0" borderId="10"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2" fillId="0" borderId="0" xfId="3" applyAlignment="1">
      <alignment horizontal="center" vertical="center" wrapText="1"/>
    </xf>
    <xf numFmtId="0" fontId="3" fillId="0" borderId="0" xfId="0" applyFont="1" applyAlignment="1">
      <alignment horizontal="left" vertical="center" wrapText="1"/>
    </xf>
    <xf numFmtId="169" fontId="3" fillId="0" borderId="0" xfId="0" applyNumberFormat="1" applyFont="1" applyAlignment="1">
      <alignment horizontal="left" vertical="center" wrapText="1"/>
    </xf>
    <xf numFmtId="168" fontId="2" fillId="0" borderId="0" xfId="5" applyFont="1" applyBorder="1" applyAlignment="1" applyProtection="1">
      <alignment horizontal="center" vertical="center"/>
    </xf>
    <xf numFmtId="0" fontId="2" fillId="0" borderId="4" xfId="0" applyFont="1" applyBorder="1" applyAlignment="1">
      <alignment horizontal="center" vertical="center" wrapText="1"/>
    </xf>
    <xf numFmtId="0" fontId="3" fillId="0" borderId="21" xfId="3" applyFont="1" applyBorder="1" applyAlignment="1">
      <alignment horizontal="center" vertical="center" wrapText="1"/>
    </xf>
    <xf numFmtId="168" fontId="5" fillId="0" borderId="0" xfId="5" applyFont="1" applyFill="1" applyBorder="1" applyAlignment="1" applyProtection="1">
      <alignment horizontal="center" vertical="center" wrapText="1"/>
    </xf>
    <xf numFmtId="0" fontId="3" fillId="0" borderId="0" xfId="0" applyFont="1" applyAlignment="1">
      <alignment vertical="center" wrapText="1"/>
    </xf>
    <xf numFmtId="169" fontId="3" fillId="0" borderId="0" xfId="0" applyNumberFormat="1" applyFont="1" applyAlignment="1">
      <alignment vertical="center" wrapText="1"/>
    </xf>
    <xf numFmtId="2" fontId="3" fillId="0" borderId="0" xfId="0" applyNumberFormat="1" applyFont="1" applyAlignment="1">
      <alignment vertical="center" wrapText="1"/>
    </xf>
    <xf numFmtId="168" fontId="3" fillId="0" borderId="0" xfId="0" applyNumberFormat="1" applyFont="1" applyAlignment="1">
      <alignment vertical="center" wrapText="1"/>
    </xf>
    <xf numFmtId="0" fontId="3" fillId="0" borderId="20" xfId="0" applyFont="1" applyBorder="1" applyAlignment="1">
      <alignment vertical="center" wrapText="1"/>
    </xf>
    <xf numFmtId="172" fontId="2" fillId="0" borderId="0" xfId="0" applyNumberFormat="1" applyFont="1" applyAlignment="1">
      <alignment horizontal="center" vertical="center" wrapText="1"/>
    </xf>
    <xf numFmtId="0" fontId="2" fillId="0" borderId="20" xfId="0" applyFont="1" applyBorder="1"/>
    <xf numFmtId="4" fontId="2" fillId="0" borderId="20"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9" fontId="2" fillId="0" borderId="4" xfId="0" applyNumberFormat="1" applyFont="1" applyBorder="1" applyAlignment="1">
      <alignment horizontal="center" vertical="center" wrapText="1"/>
    </xf>
    <xf numFmtId="2" fontId="2" fillId="0" borderId="4" xfId="0" applyNumberFormat="1" applyFont="1" applyBorder="1" applyAlignment="1">
      <alignment horizontal="center" vertical="center" wrapText="1"/>
    </xf>
    <xf numFmtId="168" fontId="2" fillId="0" borderId="4" xfId="5" applyFont="1" applyFill="1" applyBorder="1" applyAlignment="1" applyProtection="1">
      <alignment horizontal="center" vertical="center" wrapText="1"/>
    </xf>
    <xf numFmtId="168" fontId="2" fillId="0" borderId="4" xfId="5" applyFont="1" applyBorder="1" applyAlignment="1" applyProtection="1">
      <alignment horizontal="center" vertical="center" wrapText="1"/>
    </xf>
    <xf numFmtId="168" fontId="2" fillId="0" borderId="22" xfId="5" applyFont="1" applyFill="1" applyBorder="1" applyAlignment="1" applyProtection="1">
      <alignment horizontal="center" vertical="center" wrapText="1"/>
    </xf>
    <xf numFmtId="169" fontId="3" fillId="0" borderId="4" xfId="3" applyNumberFormat="1" applyFont="1" applyBorder="1" applyAlignment="1">
      <alignment vertical="center" wrapText="1"/>
    </xf>
    <xf numFmtId="2" fontId="3" fillId="0" borderId="4" xfId="3" applyNumberFormat="1" applyFont="1" applyBorder="1" applyAlignment="1">
      <alignment horizontal="center" vertical="center" wrapText="1"/>
    </xf>
    <xf numFmtId="0" fontId="3" fillId="0" borderId="4" xfId="3" applyFont="1" applyBorder="1" applyAlignment="1">
      <alignment vertical="center" wrapText="1"/>
    </xf>
    <xf numFmtId="0" fontId="3" fillId="0" borderId="22" xfId="3" applyFont="1" applyBorder="1" applyAlignment="1">
      <alignment vertical="center" wrapText="1"/>
    </xf>
    <xf numFmtId="168" fontId="2" fillId="0" borderId="20" xfId="5" applyFont="1" applyBorder="1" applyAlignment="1" applyProtection="1">
      <alignment horizontal="center" vertical="center"/>
    </xf>
    <xf numFmtId="168" fontId="2" fillId="0" borderId="0" xfId="5" applyFont="1" applyFill="1" applyBorder="1" applyAlignment="1" applyProtection="1">
      <alignment horizontal="center" vertical="center"/>
    </xf>
    <xf numFmtId="169" fontId="3" fillId="0" borderId="10" xfId="3" applyNumberFormat="1" applyFont="1" applyBorder="1" applyAlignment="1">
      <alignment horizontal="center" vertical="center" wrapText="1"/>
    </xf>
    <xf numFmtId="168" fontId="2" fillId="0" borderId="0" xfId="0" applyNumberFormat="1" applyFont="1" applyAlignment="1">
      <alignment horizontal="center" vertical="center" wrapText="1"/>
    </xf>
    <xf numFmtId="168" fontId="2" fillId="0" borderId="4" xfId="5" applyFont="1" applyBorder="1" applyAlignment="1" applyProtection="1">
      <alignment horizontal="center" vertical="center"/>
    </xf>
    <xf numFmtId="0" fontId="2" fillId="0" borderId="4" xfId="0" applyFont="1" applyBorder="1"/>
    <xf numFmtId="168" fontId="2" fillId="0" borderId="22" xfId="5" applyFont="1" applyBorder="1" applyAlignment="1" applyProtection="1">
      <alignment horizontal="center" vertical="center"/>
    </xf>
    <xf numFmtId="0" fontId="3" fillId="0" borderId="10" xfId="3" applyFont="1" applyBorder="1" applyAlignment="1">
      <alignment horizontal="center" vertical="center"/>
    </xf>
    <xf numFmtId="0" fontId="2" fillId="0" borderId="0" xfId="3" applyAlignment="1">
      <alignment vertical="center"/>
    </xf>
    <xf numFmtId="0" fontId="2" fillId="0" borderId="4" xfId="0" applyFont="1" applyBorder="1" applyAlignment="1">
      <alignment horizontal="center" vertical="center"/>
    </xf>
    <xf numFmtId="0" fontId="12" fillId="0" borderId="0" xfId="0" applyFont="1" applyAlignment="1">
      <alignment horizontal="centerContinuous" vertical="center"/>
    </xf>
    <xf numFmtId="0" fontId="10" fillId="0" borderId="0" xfId="0" applyFont="1" applyAlignment="1">
      <alignment vertical="center"/>
    </xf>
    <xf numFmtId="170" fontId="10" fillId="0" borderId="0" xfId="0" applyNumberFormat="1" applyFont="1" applyAlignment="1">
      <alignment vertical="center" wrapText="1"/>
    </xf>
    <xf numFmtId="170" fontId="23" fillId="3" borderId="12" xfId="0" applyNumberFormat="1" applyFont="1" applyFill="1" applyBorder="1" applyAlignment="1">
      <alignment horizontal="center" vertical="center" wrapText="1"/>
    </xf>
    <xf numFmtId="0" fontId="3" fillId="0" borderId="4" xfId="3" applyFont="1" applyBorder="1" applyAlignment="1">
      <alignment horizontal="center" vertical="center" wrapText="1"/>
    </xf>
    <xf numFmtId="174" fontId="3" fillId="0" borderId="4" xfId="3" applyNumberFormat="1" applyFont="1" applyBorder="1" applyAlignment="1">
      <alignment vertical="center" wrapText="1"/>
    </xf>
    <xf numFmtId="174" fontId="2" fillId="0" borderId="0" xfId="3" applyNumberFormat="1" applyAlignment="1">
      <alignment vertical="center" wrapText="1"/>
    </xf>
    <xf numFmtId="174" fontId="2" fillId="0" borderId="0" xfId="0" applyNumberFormat="1" applyFont="1" applyAlignment="1">
      <alignment horizontal="center" vertical="center" wrapText="1"/>
    </xf>
    <xf numFmtId="174" fontId="3" fillId="0" borderId="10" xfId="3" applyNumberFormat="1" applyFont="1" applyBorder="1" applyAlignment="1">
      <alignment vertical="center" wrapText="1"/>
    </xf>
    <xf numFmtId="168" fontId="0" fillId="0" borderId="0" xfId="0" applyNumberFormat="1"/>
    <xf numFmtId="174" fontId="2" fillId="0" borderId="4" xfId="0" applyNumberFormat="1" applyFont="1" applyBorder="1" applyAlignment="1">
      <alignment horizontal="center" vertical="center" wrapText="1"/>
    </xf>
    <xf numFmtId="168" fontId="0" fillId="0" borderId="0" xfId="0" applyNumberFormat="1" applyAlignment="1">
      <alignment horizontal="center" vertical="center"/>
    </xf>
    <xf numFmtId="168" fontId="2" fillId="0" borderId="0" xfId="5" applyFont="1" applyFill="1" applyBorder="1" applyAlignment="1">
      <alignment vertical="center" wrapText="1"/>
    </xf>
    <xf numFmtId="168" fontId="2" fillId="0" borderId="0" xfId="5" applyFont="1" applyFill="1" applyBorder="1" applyAlignment="1">
      <alignment horizontal="center" vertical="center" wrapText="1"/>
    </xf>
    <xf numFmtId="168" fontId="0" fillId="0" borderId="0" xfId="0" applyNumberFormat="1" applyProtection="1">
      <protection locked="0"/>
    </xf>
    <xf numFmtId="168" fontId="2" fillId="0" borderId="20" xfId="5" applyFont="1" applyFill="1" applyBorder="1" applyAlignment="1">
      <alignment horizontal="center" vertical="center" wrapText="1"/>
    </xf>
    <xf numFmtId="0" fontId="3" fillId="0" borderId="4" xfId="0" applyFont="1" applyBorder="1" applyAlignment="1">
      <alignment horizontal="center" vertical="center" wrapText="1"/>
    </xf>
    <xf numFmtId="0" fontId="12" fillId="3" borderId="0" xfId="0" applyFont="1" applyFill="1" applyAlignment="1" applyProtection="1">
      <alignment horizontal="centerContinuous" vertical="center"/>
      <protection locked="0"/>
    </xf>
    <xf numFmtId="0" fontId="15" fillId="3" borderId="0" xfId="0" applyFont="1" applyFill="1" applyAlignment="1" applyProtection="1">
      <alignment horizontal="centerContinuous" vertical="center"/>
      <protection locked="0"/>
    </xf>
    <xf numFmtId="0" fontId="26" fillId="5" borderId="0" xfId="0" applyFont="1" applyFill="1" applyAlignment="1" applyProtection="1">
      <alignment horizontal="centerContinuous" vertical="center" wrapText="1"/>
      <protection locked="0"/>
    </xf>
    <xf numFmtId="0" fontId="19" fillId="0" borderId="0" xfId="0" applyFont="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9" fillId="3" borderId="2" xfId="0" applyFont="1" applyFill="1" applyBorder="1" applyAlignment="1" applyProtection="1">
      <alignment horizontal="center" vertical="center" wrapText="1"/>
      <protection locked="0"/>
    </xf>
    <xf numFmtId="3" fontId="2" fillId="0" borderId="7" xfId="4" applyNumberFormat="1" applyFont="1" applyFill="1" applyBorder="1" applyAlignment="1" applyProtection="1">
      <alignment horizontal="center" vertical="center" wrapText="1"/>
      <protection locked="0"/>
    </xf>
    <xf numFmtId="49" fontId="2" fillId="0" borderId="8" xfId="4" applyNumberFormat="1" applyFont="1" applyFill="1" applyBorder="1" applyAlignment="1" applyProtection="1">
      <alignment horizontal="left" vertical="center" wrapText="1"/>
      <protection locked="0"/>
    </xf>
    <xf numFmtId="4" fontId="2" fillId="0" borderId="8" xfId="4" applyNumberFormat="1"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0" fillId="0" borderId="0" xfId="0" applyProtection="1">
      <protection locked="0"/>
    </xf>
    <xf numFmtId="0" fontId="0" fillId="0" borderId="0" xfId="0" applyAlignment="1" applyProtection="1">
      <alignment horizontal="center"/>
      <protection locked="0"/>
    </xf>
    <xf numFmtId="176" fontId="22" fillId="2" borderId="23" xfId="0" applyNumberFormat="1" applyFont="1" applyFill="1" applyBorder="1" applyAlignment="1" applyProtection="1">
      <alignment vertical="center" wrapText="1"/>
      <protection locked="0"/>
    </xf>
    <xf numFmtId="49" fontId="22" fillId="2" borderId="24" xfId="0" applyNumberFormat="1" applyFont="1" applyFill="1" applyBorder="1" applyAlignment="1" applyProtection="1">
      <alignment vertical="center" wrapText="1"/>
      <protection locked="0"/>
    </xf>
    <xf numFmtId="176" fontId="22" fillId="2" borderId="24" xfId="0" applyNumberFormat="1" applyFont="1" applyFill="1" applyBorder="1" applyAlignment="1" applyProtection="1">
      <alignment vertical="center" wrapText="1"/>
      <protection locked="0"/>
    </xf>
    <xf numFmtId="176" fontId="28" fillId="2" borderId="24" xfId="0" applyNumberFormat="1" applyFont="1" applyFill="1" applyBorder="1" applyAlignment="1" applyProtection="1">
      <alignment vertical="center" wrapText="1"/>
      <protection locked="0"/>
    </xf>
    <xf numFmtId="10" fontId="2" fillId="2" borderId="25" xfId="2" applyNumberFormat="1" applyFont="1" applyFill="1" applyBorder="1" applyAlignment="1" applyProtection="1">
      <alignment horizontal="center" vertical="center" wrapText="1"/>
      <protection locked="0"/>
    </xf>
    <xf numFmtId="168" fontId="2" fillId="2" borderId="25" xfId="5" applyFont="1" applyFill="1" applyBorder="1" applyAlignment="1" applyProtection="1">
      <alignment horizontal="center" vertical="center" wrapText="1"/>
      <protection locked="0"/>
    </xf>
    <xf numFmtId="176" fontId="28" fillId="2" borderId="24" xfId="0" applyNumberFormat="1" applyFont="1" applyFill="1" applyBorder="1" applyAlignment="1" applyProtection="1">
      <alignment wrapText="1"/>
      <protection locked="0"/>
    </xf>
    <xf numFmtId="176" fontId="28" fillId="2" borderId="24" xfId="0" applyNumberFormat="1" applyFont="1" applyFill="1" applyBorder="1" applyAlignment="1" applyProtection="1">
      <alignment horizontal="centerContinuous" wrapText="1"/>
      <protection locked="0"/>
    </xf>
    <xf numFmtId="176" fontId="28" fillId="2" borderId="5" xfId="0" applyNumberFormat="1" applyFont="1" applyFill="1" applyBorder="1" applyAlignment="1" applyProtection="1">
      <alignment wrapText="1"/>
      <protection locked="0"/>
    </xf>
    <xf numFmtId="176" fontId="28" fillId="2" borderId="10" xfId="0" applyNumberFormat="1" applyFont="1" applyFill="1" applyBorder="1" applyAlignment="1" applyProtection="1">
      <alignment wrapText="1"/>
      <protection locked="0"/>
    </xf>
    <xf numFmtId="176" fontId="28" fillId="2" borderId="10" xfId="0" applyNumberFormat="1" applyFont="1" applyFill="1" applyBorder="1" applyAlignment="1" applyProtection="1">
      <alignment horizontal="centerContinuous" wrapText="1"/>
      <protection locked="0"/>
    </xf>
    <xf numFmtId="176" fontId="28" fillId="2" borderId="5" xfId="0" applyNumberFormat="1" applyFont="1" applyFill="1" applyBorder="1" applyAlignment="1" applyProtection="1">
      <alignment horizontal="centerContinuous" wrapText="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43" fontId="2" fillId="0" borderId="0" xfId="1" applyFont="1" applyProtection="1">
      <protection locked="0"/>
    </xf>
    <xf numFmtId="43"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43" fontId="2" fillId="0" borderId="0" xfId="1" applyFont="1" applyAlignment="1" applyProtection="1">
      <alignment horizontal="centerContinuous" wrapText="1"/>
      <protection locked="0"/>
    </xf>
    <xf numFmtId="0" fontId="12" fillId="3" borderId="0" xfId="0" applyFont="1" applyFill="1" applyAlignment="1" applyProtection="1">
      <alignment horizontal="centerContinuous" vertical="center" wrapText="1"/>
      <protection locked="0"/>
    </xf>
    <xf numFmtId="0" fontId="15" fillId="3" borderId="0" xfId="0" applyFont="1" applyFill="1" applyAlignment="1" applyProtection="1">
      <alignment horizontal="centerContinuous" vertical="center" wrapText="1"/>
      <protection locked="0"/>
    </xf>
    <xf numFmtId="0" fontId="20" fillId="5" borderId="4" xfId="0" applyFont="1" applyFill="1" applyBorder="1" applyAlignment="1" applyProtection="1">
      <alignment horizontal="center" vertical="center" wrapText="1"/>
      <protection locked="0"/>
    </xf>
    <xf numFmtId="0" fontId="20" fillId="5" borderId="0" xfId="0" applyFont="1" applyFill="1" applyAlignment="1" applyProtection="1">
      <alignment horizontal="center" vertical="center" wrapText="1"/>
      <protection locked="0"/>
    </xf>
    <xf numFmtId="0" fontId="19" fillId="3" borderId="5" xfId="0" applyFont="1" applyFill="1" applyBorder="1" applyAlignment="1" applyProtection="1">
      <alignment horizontal="centerContinuous" vertical="center"/>
      <protection locked="0"/>
    </xf>
    <xf numFmtId="0" fontId="19" fillId="3" borderId="10" xfId="0" applyFont="1" applyFill="1" applyBorder="1" applyAlignment="1" applyProtection="1">
      <alignment horizontal="centerContinuous" vertical="center"/>
      <protection locked="0"/>
    </xf>
    <xf numFmtId="0" fontId="19" fillId="3" borderId="6" xfId="0" applyFont="1" applyFill="1" applyBorder="1" applyAlignment="1" applyProtection="1">
      <alignment horizontal="centerContinuous" vertical="center"/>
      <protection locked="0"/>
    </xf>
    <xf numFmtId="0" fontId="2" fillId="0" borderId="26" xfId="0" applyFont="1" applyBorder="1" applyAlignment="1" applyProtection="1">
      <alignment vertical="center"/>
      <protection locked="0"/>
    </xf>
    <xf numFmtId="0" fontId="29" fillId="0" borderId="28" xfId="0" applyFont="1" applyBorder="1" applyAlignment="1" applyProtection="1">
      <alignment horizontal="center" vertical="center"/>
      <protection locked="0"/>
    </xf>
    <xf numFmtId="0" fontId="29" fillId="0" borderId="29" xfId="0" applyFont="1" applyBorder="1" applyAlignment="1" applyProtection="1">
      <alignment horizontal="center" vertical="center"/>
      <protection locked="0"/>
    </xf>
    <xf numFmtId="0" fontId="27" fillId="0" borderId="20" xfId="0" applyFont="1" applyBorder="1" applyAlignment="1" applyProtection="1">
      <alignment vertical="center"/>
      <protection locked="0"/>
    </xf>
    <xf numFmtId="0" fontId="27" fillId="0" borderId="0" xfId="0" applyFont="1" applyAlignment="1" applyProtection="1">
      <alignment horizontal="center" vertical="center"/>
      <protection locked="0"/>
    </xf>
    <xf numFmtId="0" fontId="30" fillId="0" borderId="20" xfId="0" applyFont="1" applyBorder="1" applyAlignment="1" applyProtection="1">
      <alignment horizontal="center" vertical="center"/>
      <protection locked="0"/>
    </xf>
    <xf numFmtId="0" fontId="22" fillId="0" borderId="31" xfId="0" applyFont="1" applyBorder="1" applyAlignment="1" applyProtection="1">
      <alignment horizontal="center" vertical="center"/>
      <protection locked="0"/>
    </xf>
    <xf numFmtId="0" fontId="22" fillId="0" borderId="32"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3" fillId="0" borderId="7" xfId="0" applyFont="1" applyBorder="1" applyAlignment="1" applyProtection="1">
      <alignment horizontal="center" vertical="center"/>
      <protection locked="0"/>
    </xf>
    <xf numFmtId="10" fontId="2" fillId="0" borderId="8" xfId="0" applyNumberFormat="1" applyFont="1" applyBorder="1" applyAlignment="1" applyProtection="1">
      <alignment horizontal="center" vertical="center"/>
      <protection locked="0"/>
    </xf>
    <xf numFmtId="10" fontId="2" fillId="0" borderId="9" xfId="0" applyNumberFormat="1" applyFont="1" applyBorder="1" applyAlignment="1" applyProtection="1">
      <alignment horizontal="center" vertical="center"/>
      <protection locked="0"/>
    </xf>
    <xf numFmtId="0" fontId="2" fillId="0" borderId="20" xfId="0" applyFont="1" applyBorder="1" applyAlignment="1" applyProtection="1">
      <alignment vertical="center"/>
      <protection locked="0"/>
    </xf>
    <xf numFmtId="0" fontId="23" fillId="0" borderId="20" xfId="0" applyFont="1" applyBorder="1" applyAlignment="1" applyProtection="1">
      <alignment horizontal="center" vertical="center"/>
      <protection locked="0"/>
    </xf>
    <xf numFmtId="0" fontId="3" fillId="3" borderId="23" xfId="0" applyFont="1" applyFill="1" applyBorder="1" applyAlignment="1" applyProtection="1">
      <alignment horizontal="center" vertical="center" wrapText="1"/>
      <protection locked="0"/>
    </xf>
    <xf numFmtId="0" fontId="3" fillId="3" borderId="21" xfId="0" applyFont="1" applyFill="1" applyBorder="1" applyAlignment="1" applyProtection="1">
      <alignment horizontal="center" vertical="center"/>
      <protection locked="0"/>
    </xf>
    <xf numFmtId="0" fontId="2" fillId="0" borderId="15" xfId="0" applyFont="1" applyBorder="1" applyAlignment="1" applyProtection="1">
      <alignment vertical="center"/>
      <protection locked="0"/>
    </xf>
    <xf numFmtId="0" fontId="7" fillId="0" borderId="0" xfId="0" applyFont="1" applyAlignment="1" applyProtection="1">
      <alignment horizontal="center" vertical="center"/>
      <protection locked="0"/>
    </xf>
    <xf numFmtId="10" fontId="7" fillId="0" borderId="0" xfId="0" applyNumberFormat="1" applyFont="1" applyAlignment="1" applyProtection="1">
      <alignment horizontal="center" vertical="center"/>
      <protection locked="0"/>
    </xf>
    <xf numFmtId="0" fontId="2" fillId="0" borderId="0" xfId="3" applyAlignment="1" applyProtection="1">
      <alignment vertical="center"/>
      <protection locked="0"/>
    </xf>
    <xf numFmtId="0" fontId="2" fillId="0" borderId="0" xfId="3" applyAlignment="1" applyProtection="1">
      <alignment vertical="center" wrapText="1"/>
      <protection locked="0"/>
    </xf>
    <xf numFmtId="171" fontId="2" fillId="0" borderId="0" xfId="0" applyNumberFormat="1" applyFont="1" applyAlignment="1">
      <alignment horizontal="center" vertical="center"/>
    </xf>
    <xf numFmtId="0" fontId="3" fillId="0" borderId="21" xfId="3" applyFont="1" applyBorder="1" applyAlignment="1">
      <alignment horizontal="center" vertical="center" wrapText="1"/>
    </xf>
    <xf numFmtId="168" fontId="2" fillId="0" borderId="8" xfId="5" applyFont="1" applyFill="1" applyBorder="1" applyAlignment="1" applyProtection="1">
      <alignment vertical="center" wrapText="1"/>
    </xf>
    <xf numFmtId="168" fontId="2" fillId="0" borderId="8" xfId="5" applyFont="1" applyFill="1" applyBorder="1" applyAlignment="1" applyProtection="1">
      <alignment horizontal="right" vertical="center" wrapText="1"/>
    </xf>
    <xf numFmtId="10" fontId="2" fillId="0" borderId="8" xfId="2" applyNumberFormat="1" applyFont="1" applyFill="1" applyBorder="1" applyAlignment="1" applyProtection="1">
      <alignment horizontal="center" vertical="center" wrapText="1"/>
    </xf>
    <xf numFmtId="168" fontId="2" fillId="0" borderId="8" xfId="5" applyFont="1" applyFill="1" applyBorder="1" applyAlignment="1" applyProtection="1">
      <alignment horizontal="center" vertical="center" wrapText="1"/>
    </xf>
    <xf numFmtId="176" fontId="28" fillId="2" borderId="24" xfId="0" applyNumberFormat="1" applyFont="1" applyFill="1" applyBorder="1" applyAlignment="1" applyProtection="1">
      <alignment horizontal="center" wrapText="1"/>
    </xf>
    <xf numFmtId="176" fontId="28" fillId="2" borderId="5" xfId="0" applyNumberFormat="1" applyFont="1" applyFill="1" applyBorder="1" applyAlignment="1" applyProtection="1">
      <alignment horizontal="center" wrapText="1"/>
    </xf>
    <xf numFmtId="10" fontId="28" fillId="2" borderId="24" xfId="2" applyNumberFormat="1" applyFont="1" applyFill="1" applyBorder="1" applyAlignment="1" applyProtection="1">
      <alignment wrapText="1"/>
    </xf>
    <xf numFmtId="177" fontId="28" fillId="2" borderId="23" xfId="0" applyNumberFormat="1" applyFont="1" applyFill="1" applyBorder="1" applyAlignment="1" applyProtection="1">
      <alignment horizontal="center" wrapText="1"/>
    </xf>
    <xf numFmtId="0" fontId="24" fillId="0" borderId="0" xfId="6" applyFont="1" applyBorder="1" applyAlignment="1" applyProtection="1">
      <alignment wrapText="1"/>
    </xf>
    <xf numFmtId="0" fontId="6" fillId="0" borderId="5"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5" fillId="0" borderId="0" xfId="6" applyNumberFormat="1" applyFont="1" applyFill="1" applyBorder="1" applyAlignment="1" applyProtection="1">
      <alignment horizontal="center" vertical="center" wrapText="1"/>
    </xf>
    <xf numFmtId="0" fontId="25" fillId="0" borderId="0" xfId="6" applyFont="1" applyBorder="1" applyAlignment="1" applyProtection="1">
      <alignment wrapText="1"/>
    </xf>
    <xf numFmtId="2" fontId="31" fillId="3" borderId="0" xfId="5" applyNumberFormat="1" applyFont="1" applyFill="1" applyBorder="1" applyAlignment="1" applyProtection="1">
      <alignment horizontal="center" vertical="center" wrapText="1"/>
    </xf>
    <xf numFmtId="170" fontId="31" fillId="3" borderId="0" xfId="5" applyNumberFormat="1" applyFont="1" applyFill="1" applyBorder="1" applyAlignment="1" applyProtection="1">
      <alignment horizontal="center" vertical="center" wrapText="1"/>
    </xf>
    <xf numFmtId="2" fontId="2" fillId="0" borderId="0" xfId="0" applyNumberFormat="1" applyFont="1" applyAlignment="1" applyProtection="1">
      <alignment horizontal="center" vertical="center" wrapText="1"/>
      <protection locked="0"/>
    </xf>
    <xf numFmtId="44" fontId="2" fillId="0" borderId="8" xfId="116" applyFont="1" applyFill="1" applyBorder="1" applyAlignment="1" applyProtection="1">
      <alignment horizontal="right" vertical="center" wrapText="1"/>
    </xf>
    <xf numFmtId="0" fontId="3" fillId="0" borderId="19" xfId="3" applyFont="1" applyBorder="1" applyAlignment="1">
      <alignment horizontal="center" vertical="center" wrapText="1"/>
    </xf>
    <xf numFmtId="0" fontId="3" fillId="0" borderId="0" xfId="3" applyFont="1" applyAlignment="1">
      <alignment horizontal="center" vertical="center" wrapText="1"/>
    </xf>
    <xf numFmtId="3" fontId="3" fillId="0" borderId="18" xfId="3" applyNumberFormat="1" applyFont="1" applyBorder="1" applyAlignment="1">
      <alignment horizontal="center" vertical="center"/>
    </xf>
    <xf numFmtId="0" fontId="3" fillId="0" borderId="15" xfId="3" applyFont="1" applyBorder="1" applyAlignment="1">
      <alignment horizontal="center" vertical="center"/>
    </xf>
    <xf numFmtId="0" fontId="3" fillId="0" borderId="21" xfId="3" applyFont="1" applyBorder="1" applyAlignment="1">
      <alignment horizontal="center" vertical="center"/>
    </xf>
    <xf numFmtId="0" fontId="3" fillId="0" borderId="4" xfId="3" applyFont="1" applyBorder="1" applyAlignment="1">
      <alignment horizontal="center" vertical="center" wrapText="1"/>
    </xf>
    <xf numFmtId="3" fontId="3" fillId="0" borderId="18" xfId="3" applyNumberFormat="1" applyFont="1" applyBorder="1" applyAlignment="1">
      <alignment horizontal="center" vertical="center" wrapText="1"/>
    </xf>
    <xf numFmtId="0" fontId="3" fillId="0" borderId="15" xfId="3" applyFont="1" applyBorder="1" applyAlignment="1">
      <alignment horizontal="center" vertical="center" wrapText="1"/>
    </xf>
    <xf numFmtId="3" fontId="3" fillId="0" borderId="15" xfId="3" applyNumberFormat="1" applyFont="1" applyBorder="1" applyAlignment="1">
      <alignment horizontal="center" vertical="center"/>
    </xf>
    <xf numFmtId="3" fontId="3" fillId="0" borderId="21" xfId="3" applyNumberFormat="1" applyFont="1" applyBorder="1" applyAlignment="1">
      <alignment horizontal="center" vertical="center"/>
    </xf>
    <xf numFmtId="0" fontId="3" fillId="0" borderId="18" xfId="3" applyFont="1" applyBorder="1" applyAlignment="1">
      <alignment horizontal="center" vertical="center" wrapText="1"/>
    </xf>
    <xf numFmtId="0" fontId="3" fillId="0" borderId="21" xfId="3" applyFont="1" applyBorder="1" applyAlignment="1">
      <alignment horizontal="center" vertical="center" wrapText="1"/>
    </xf>
    <xf numFmtId="0" fontId="13" fillId="0" borderId="27"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13" fillId="0" borderId="33" xfId="0" applyFont="1" applyBorder="1" applyAlignment="1" applyProtection="1">
      <alignment horizontal="center" vertical="center" wrapText="1"/>
      <protection locked="0"/>
    </xf>
    <xf numFmtId="0" fontId="18" fillId="0" borderId="0" xfId="0" applyFont="1" applyAlignment="1" applyProtection="1">
      <alignment horizontal="left"/>
      <protection locked="0"/>
    </xf>
    <xf numFmtId="168" fontId="2" fillId="0" borderId="8" xfId="5" applyFont="1" applyFill="1" applyBorder="1" applyAlignment="1" applyProtection="1">
      <alignment vertical="center" wrapText="1"/>
      <protection locked="0"/>
    </xf>
    <xf numFmtId="0" fontId="27" fillId="5" borderId="0" xfId="0" applyFont="1" applyFill="1" applyBorder="1" applyAlignment="1" applyProtection="1">
      <alignment horizontal="center" vertical="center" wrapText="1"/>
      <protection locked="0"/>
    </xf>
    <xf numFmtId="0" fontId="27" fillId="5" borderId="0" xfId="0" applyFont="1" applyFill="1" applyBorder="1" applyAlignment="1" applyProtection="1">
      <alignment vertical="center" wrapText="1"/>
      <protection locked="0"/>
    </xf>
    <xf numFmtId="175" fontId="27" fillId="5" borderId="0" xfId="0" applyNumberFormat="1" applyFont="1" applyFill="1" applyBorder="1" applyAlignment="1" applyProtection="1">
      <alignment horizontal="centerContinuous" vertical="center" wrapText="1"/>
      <protection locked="0"/>
    </xf>
    <xf numFmtId="168" fontId="2" fillId="0" borderId="37" xfId="5" applyFont="1" applyFill="1" applyBorder="1" applyAlignment="1" applyProtection="1">
      <alignment horizontal="right" vertical="center" wrapText="1"/>
    </xf>
    <xf numFmtId="168" fontId="2" fillId="0" borderId="9" xfId="5" applyFont="1" applyFill="1" applyBorder="1" applyAlignment="1" applyProtection="1">
      <alignment horizontal="right" vertical="center" wrapText="1"/>
    </xf>
    <xf numFmtId="178" fontId="28" fillId="2" borderId="20" xfId="1" applyNumberFormat="1" applyFont="1" applyFill="1" applyBorder="1" applyAlignment="1" applyProtection="1">
      <alignment horizontal="right" wrapText="1"/>
    </xf>
    <xf numFmtId="178" fontId="28" fillId="2" borderId="22" xfId="1" applyNumberFormat="1" applyFont="1" applyFill="1" applyBorder="1" applyAlignment="1" applyProtection="1">
      <alignment horizontal="right" wrapText="1"/>
    </xf>
    <xf numFmtId="168" fontId="2" fillId="0" borderId="32" xfId="5" applyFont="1" applyFill="1" applyBorder="1" applyAlignment="1" applyProtection="1">
      <alignment horizontal="right" vertical="center" wrapText="1"/>
    </xf>
    <xf numFmtId="168" fontId="2" fillId="2" borderId="20" xfId="5" applyFont="1" applyFill="1" applyBorder="1" applyAlignment="1" applyProtection="1">
      <alignment horizontal="right" vertical="center" wrapText="1"/>
      <protection locked="0"/>
    </xf>
    <xf numFmtId="3" fontId="2" fillId="0" borderId="7" xfId="4" applyNumberFormat="1" applyFont="1" applyFill="1" applyBorder="1" applyAlignment="1" applyProtection="1">
      <alignment horizontal="center" vertical="center" wrapText="1"/>
    </xf>
    <xf numFmtId="49" fontId="2" fillId="0" borderId="8" xfId="4" applyNumberFormat="1" applyFont="1" applyFill="1" applyBorder="1" applyAlignment="1" applyProtection="1">
      <alignment horizontal="left" vertical="center" wrapText="1"/>
    </xf>
    <xf numFmtId="4" fontId="2" fillId="0" borderId="8" xfId="4" applyNumberFormat="1" applyFont="1" applyFill="1" applyBorder="1" applyAlignment="1" applyProtection="1">
      <alignment horizontal="center" vertical="center" wrapText="1"/>
    </xf>
    <xf numFmtId="0" fontId="19" fillId="3" borderId="1" xfId="0" applyFont="1" applyFill="1" applyBorder="1" applyAlignment="1" applyProtection="1">
      <alignment horizontal="center" vertical="center" wrapText="1"/>
    </xf>
    <xf numFmtId="0" fontId="19" fillId="3" borderId="2" xfId="0" applyFont="1" applyFill="1" applyBorder="1" applyAlignment="1" applyProtection="1">
      <alignment horizontal="center" vertical="center" wrapText="1"/>
    </xf>
    <xf numFmtId="2" fontId="19" fillId="3" borderId="2" xfId="1" applyNumberFormat="1" applyFont="1" applyFill="1" applyBorder="1" applyAlignment="1" applyProtection="1">
      <alignment horizontal="center" vertical="center" wrapText="1"/>
    </xf>
    <xf numFmtId="43" fontId="19" fillId="3" borderId="2" xfId="1" applyFont="1" applyFill="1" applyBorder="1" applyAlignment="1" applyProtection="1">
      <alignment horizontal="center" vertical="center" wrapText="1"/>
    </xf>
    <xf numFmtId="43" fontId="19" fillId="3" borderId="3" xfId="1" applyFont="1" applyFill="1" applyBorder="1" applyAlignment="1" applyProtection="1">
      <alignment horizontal="center" vertical="center" wrapText="1"/>
    </xf>
    <xf numFmtId="176" fontId="28" fillId="2" borderId="24" xfId="0" applyNumberFormat="1" applyFont="1" applyFill="1" applyBorder="1" applyAlignment="1" applyProtection="1">
      <alignment horizontal="centerContinuous" wrapText="1"/>
    </xf>
    <xf numFmtId="176" fontId="28" fillId="2" borderId="5" xfId="0" applyNumberFormat="1" applyFont="1" applyFill="1" applyBorder="1" applyAlignment="1" applyProtection="1">
      <alignment horizontal="centerContinuous" wrapText="1"/>
    </xf>
    <xf numFmtId="175" fontId="22" fillId="5" borderId="0" xfId="0" applyNumberFormat="1" applyFont="1" applyFill="1" applyBorder="1" applyAlignment="1" applyProtection="1">
      <alignment horizontal="left" vertical="center" wrapText="1"/>
      <protection locked="0"/>
    </xf>
    <xf numFmtId="0" fontId="12" fillId="3" borderId="0" xfId="0" applyFont="1" applyFill="1" applyAlignment="1" applyProtection="1">
      <alignment horizontal="centerContinuous" vertical="distributed"/>
      <protection locked="0"/>
    </xf>
    <xf numFmtId="169" fontId="12" fillId="3" borderId="0" xfId="0" applyNumberFormat="1" applyFont="1" applyFill="1" applyAlignment="1" applyProtection="1">
      <alignment horizontal="centerContinuous" vertical="distributed"/>
      <protection locked="0"/>
    </xf>
    <xf numFmtId="0" fontId="16" fillId="3" borderId="0" xfId="0" applyFont="1" applyFill="1" applyAlignment="1" applyProtection="1">
      <alignment horizontal="centerContinuous" vertical="center" wrapText="1"/>
      <protection locked="0"/>
    </xf>
    <xf numFmtId="0" fontId="16" fillId="3" borderId="0" xfId="0" applyFont="1" applyFill="1" applyAlignment="1" applyProtection="1">
      <alignment horizontal="centerContinuous" vertical="center"/>
      <protection locked="0"/>
    </xf>
    <xf numFmtId="169" fontId="16" fillId="3" borderId="0" xfId="0" applyNumberFormat="1" applyFont="1" applyFill="1" applyAlignment="1" applyProtection="1">
      <alignment horizontal="centerContinuous" vertical="center" wrapText="1"/>
      <protection locked="0"/>
    </xf>
    <xf numFmtId="0" fontId="17" fillId="0" borderId="0" xfId="0" applyFont="1" applyAlignment="1" applyProtection="1">
      <alignment horizontal="centerContinuous" vertical="center" wrapText="1"/>
      <protection locked="0"/>
    </xf>
    <xf numFmtId="0" fontId="17" fillId="0" borderId="0" xfId="0" applyFont="1" applyAlignment="1" applyProtection="1">
      <alignment horizontal="centerContinuous" vertical="center"/>
      <protection locked="0"/>
    </xf>
    <xf numFmtId="169" fontId="17" fillId="0" borderId="0" xfId="0" applyNumberFormat="1" applyFont="1" applyAlignment="1" applyProtection="1">
      <alignment horizontal="centerContinuous" vertical="center" wrapText="1"/>
      <protection locked="0"/>
    </xf>
    <xf numFmtId="0" fontId="14" fillId="0" borderId="0" xfId="0" applyFont="1" applyAlignment="1" applyProtection="1">
      <alignment horizontal="center" vertical="center" wrapText="1"/>
      <protection locked="0"/>
    </xf>
    <xf numFmtId="169" fontId="14" fillId="0" borderId="0" xfId="0" applyNumberFormat="1" applyFont="1" applyAlignment="1" applyProtection="1">
      <alignment horizontal="center" vertical="center" wrapText="1"/>
      <protection locked="0"/>
    </xf>
    <xf numFmtId="0" fontId="2" fillId="0" borderId="0" xfId="0" applyFont="1" applyProtection="1">
      <protection locked="0"/>
    </xf>
    <xf numFmtId="9" fontId="2" fillId="0" borderId="0" xfId="0" applyNumberFormat="1" applyFont="1" applyProtection="1">
      <protection locked="0"/>
    </xf>
    <xf numFmtId="0" fontId="10" fillId="0" borderId="0" xfId="0" applyFont="1" applyAlignment="1" applyProtection="1">
      <alignment vertical="center" wrapText="1"/>
      <protection locked="0"/>
    </xf>
    <xf numFmtId="0" fontId="10" fillId="0" borderId="0" xfId="0" applyFont="1" applyAlignment="1" applyProtection="1">
      <alignment vertical="center"/>
      <protection locked="0"/>
    </xf>
    <xf numFmtId="10" fontId="3" fillId="3" borderId="24" xfId="0" applyNumberFormat="1" applyFont="1" applyFill="1" applyBorder="1" applyAlignment="1" applyProtection="1">
      <alignment horizontal="center" vertical="center"/>
    </xf>
    <xf numFmtId="10" fontId="3" fillId="3" borderId="34" xfId="0" applyNumberFormat="1" applyFont="1" applyFill="1" applyBorder="1" applyAlignment="1" applyProtection="1">
      <alignment horizontal="center" vertical="center"/>
    </xf>
    <xf numFmtId="10" fontId="3" fillId="3" borderId="22" xfId="0" applyNumberFormat="1" applyFont="1" applyFill="1" applyBorder="1" applyAlignment="1" applyProtection="1">
      <alignment horizontal="center" vertical="center"/>
    </xf>
    <xf numFmtId="0" fontId="19" fillId="3" borderId="35" xfId="0" applyFont="1" applyFill="1" applyBorder="1" applyAlignment="1" applyProtection="1">
      <alignment horizontal="centerContinuous" vertical="center"/>
    </xf>
    <xf numFmtId="0" fontId="19" fillId="3" borderId="25" xfId="0" applyFont="1" applyFill="1" applyBorder="1" applyAlignment="1" applyProtection="1">
      <alignment horizontal="centerContinuous" vertical="center"/>
    </xf>
    <xf numFmtId="0" fontId="19" fillId="3" borderId="36" xfId="0" applyFont="1" applyFill="1" applyBorder="1" applyAlignment="1" applyProtection="1">
      <alignment horizontal="centerContinuous" vertical="center"/>
    </xf>
    <xf numFmtId="0" fontId="2" fillId="0" borderId="0" xfId="0" applyFont="1" applyAlignment="1" applyProtection="1">
      <alignment vertical="center"/>
    </xf>
    <xf numFmtId="0" fontId="3" fillId="0" borderId="7" xfId="0" applyFont="1" applyBorder="1" applyAlignment="1" applyProtection="1">
      <alignment horizontal="center" vertical="center"/>
    </xf>
    <xf numFmtId="0" fontId="23" fillId="0" borderId="8" xfId="0" applyFont="1" applyBorder="1" applyAlignment="1" applyProtection="1">
      <alignment horizontal="center" vertical="center"/>
    </xf>
    <xf numFmtId="0" fontId="23" fillId="0" borderId="9" xfId="0" applyFont="1" applyBorder="1" applyAlignment="1" applyProtection="1">
      <alignment horizontal="center" vertical="center"/>
    </xf>
    <xf numFmtId="0" fontId="23" fillId="0" borderId="7" xfId="0" applyFont="1" applyBorder="1" applyAlignment="1" applyProtection="1">
      <alignment horizontal="center" vertical="center"/>
    </xf>
    <xf numFmtId="10" fontId="2" fillId="0" borderId="8" xfId="0" applyNumberFormat="1" applyFont="1" applyBorder="1" applyAlignment="1" applyProtection="1">
      <alignment horizontal="center" vertical="center"/>
    </xf>
    <xf numFmtId="10" fontId="2" fillId="0" borderId="9" xfId="0" applyNumberFormat="1" applyFont="1" applyBorder="1" applyAlignment="1" applyProtection="1">
      <alignment horizontal="center" vertical="center"/>
    </xf>
    <xf numFmtId="0" fontId="2" fillId="0" borderId="0" xfId="0" applyFont="1" applyAlignment="1" applyProtection="1">
      <alignment horizontal="center" vertical="center"/>
    </xf>
    <xf numFmtId="0" fontId="3" fillId="3" borderId="23" xfId="0" applyFont="1" applyFill="1" applyBorder="1" applyAlignment="1" applyProtection="1">
      <alignment horizontal="center" vertical="center" wrapText="1"/>
    </xf>
    <xf numFmtId="10" fontId="3" fillId="3" borderId="16" xfId="0" applyNumberFormat="1" applyFont="1" applyFill="1" applyBorder="1" applyAlignment="1" applyProtection="1">
      <alignment horizontal="center" vertical="center"/>
    </xf>
    <xf numFmtId="10" fontId="3" fillId="3" borderId="17" xfId="0" applyNumberFormat="1" applyFont="1" applyFill="1" applyBorder="1" applyAlignment="1" applyProtection="1">
      <alignment horizontal="center" vertical="center"/>
    </xf>
    <xf numFmtId="0" fontId="3" fillId="3" borderId="21" xfId="0" applyFont="1" applyFill="1" applyBorder="1" applyAlignment="1" applyProtection="1">
      <alignment horizontal="center" vertical="center"/>
    </xf>
    <xf numFmtId="0" fontId="19" fillId="3" borderId="12" xfId="0" applyFont="1" applyFill="1" applyBorder="1" applyAlignment="1" applyProtection="1">
      <alignment horizontal="center" vertical="center" wrapText="1"/>
      <protection locked="0"/>
    </xf>
    <xf numFmtId="174" fontId="3" fillId="0" borderId="4" xfId="3" applyNumberFormat="1" applyFont="1" applyBorder="1" applyAlignment="1" applyProtection="1">
      <alignment vertical="center" wrapText="1"/>
      <protection locked="0"/>
    </xf>
    <xf numFmtId="174" fontId="2" fillId="0" borderId="0" xfId="3" applyNumberFormat="1" applyAlignment="1" applyProtection="1">
      <alignment vertical="center" wrapText="1"/>
      <protection locked="0"/>
    </xf>
    <xf numFmtId="169" fontId="2" fillId="0" borderId="0" xfId="0" applyNumberFormat="1" applyFont="1" applyAlignment="1" applyProtection="1">
      <alignment horizontal="center" vertical="center" wrapText="1"/>
      <protection locked="0"/>
    </xf>
    <xf numFmtId="174" fontId="2" fillId="0" borderId="0" xfId="0" applyNumberFormat="1" applyFont="1" applyAlignment="1" applyProtection="1">
      <alignment horizontal="center" vertical="center" wrapText="1"/>
      <protection locked="0"/>
    </xf>
    <xf numFmtId="174" fontId="3" fillId="0" borderId="10" xfId="3" applyNumberFormat="1" applyFont="1" applyBorder="1" applyAlignment="1" applyProtection="1">
      <alignment vertical="center" wrapText="1"/>
      <protection locked="0"/>
    </xf>
    <xf numFmtId="174" fontId="2" fillId="0" borderId="4" xfId="0" applyNumberFormat="1" applyFont="1" applyBorder="1" applyAlignment="1" applyProtection="1">
      <alignment horizontal="center" vertical="center" wrapText="1"/>
      <protection locked="0"/>
    </xf>
    <xf numFmtId="2" fontId="3" fillId="0" borderId="4" xfId="3" applyNumberFormat="1" applyFont="1" applyBorder="1" applyAlignment="1" applyProtection="1">
      <alignment horizontal="center" vertical="center" wrapText="1"/>
      <protection locked="0"/>
    </xf>
    <xf numFmtId="0" fontId="3" fillId="0" borderId="4" xfId="3" applyFont="1" applyBorder="1" applyAlignment="1" applyProtection="1">
      <alignment vertical="center" wrapText="1"/>
      <protection locked="0"/>
    </xf>
    <xf numFmtId="0" fontId="2" fillId="0" borderId="0" xfId="3" applyAlignment="1" applyProtection="1">
      <alignment horizontal="center" vertical="center" wrapText="1"/>
      <protection locked="0"/>
    </xf>
    <xf numFmtId="168" fontId="2" fillId="0" borderId="0" xfId="5" applyFont="1" applyFill="1" applyBorder="1" applyAlignment="1" applyProtection="1">
      <alignment horizontal="center" vertical="center" wrapText="1"/>
      <protection locked="0"/>
    </xf>
    <xf numFmtId="168" fontId="2" fillId="0" borderId="0" xfId="5" applyFont="1" applyBorder="1" applyAlignment="1" applyProtection="1">
      <alignment horizontal="center" vertical="center" wrapText="1"/>
      <protection locked="0"/>
    </xf>
    <xf numFmtId="2" fontId="3" fillId="0" borderId="10" xfId="3" applyNumberFormat="1" applyFont="1" applyBorder="1" applyAlignment="1" applyProtection="1">
      <alignment horizontal="center" vertical="center" wrapText="1"/>
      <protection locked="0"/>
    </xf>
    <xf numFmtId="168" fontId="3" fillId="0" borderId="10" xfId="3" applyNumberFormat="1" applyFont="1" applyBorder="1" applyAlignment="1" applyProtection="1">
      <alignment vertical="center" wrapText="1"/>
      <protection locked="0"/>
    </xf>
    <xf numFmtId="0" fontId="3" fillId="0" borderId="10" xfId="3" applyFont="1" applyBorder="1" applyAlignment="1" applyProtection="1">
      <alignment vertical="center" wrapText="1"/>
      <protection locked="0"/>
    </xf>
    <xf numFmtId="168" fontId="2" fillId="0" borderId="0" xfId="5" applyFont="1" applyFill="1" applyBorder="1" applyAlignment="1" applyProtection="1">
      <alignment vertical="center" wrapText="1"/>
      <protection locked="0"/>
    </xf>
    <xf numFmtId="2" fontId="2" fillId="0" borderId="4" xfId="0" applyNumberFormat="1" applyFont="1" applyBorder="1" applyAlignment="1" applyProtection="1">
      <alignment horizontal="center" vertical="center" wrapText="1"/>
      <protection locked="0"/>
    </xf>
    <xf numFmtId="168" fontId="2" fillId="0" borderId="4" xfId="5" applyFont="1" applyFill="1" applyBorder="1" applyAlignment="1" applyProtection="1">
      <alignment horizontal="center" vertical="center" wrapText="1"/>
      <protection locked="0"/>
    </xf>
    <xf numFmtId="0" fontId="3" fillId="0" borderId="10" xfId="3" applyFont="1" applyBorder="1" applyAlignment="1" applyProtection="1">
      <alignment horizontal="center" vertical="center" wrapText="1"/>
      <protection locked="0"/>
    </xf>
    <xf numFmtId="168" fontId="2" fillId="0" borderId="4" xfId="5" applyFont="1" applyBorder="1" applyAlignment="1" applyProtection="1">
      <alignment horizontal="center" vertical="center" wrapText="1"/>
      <protection locked="0"/>
    </xf>
    <xf numFmtId="0" fontId="19" fillId="3" borderId="11" xfId="0" applyFont="1" applyFill="1" applyBorder="1" applyAlignment="1" applyProtection="1">
      <alignment horizontal="center" vertical="center" wrapText="1"/>
      <protection locked="0"/>
    </xf>
    <xf numFmtId="0" fontId="3" fillId="0" borderId="15" xfId="3" applyFont="1" applyBorder="1" applyAlignment="1" applyProtection="1">
      <alignment horizontal="center" vertical="center" wrapText="1"/>
      <protection locked="0"/>
    </xf>
    <xf numFmtId="0" fontId="3" fillId="0" borderId="21" xfId="3" applyFont="1" applyBorder="1" applyAlignment="1" applyProtection="1">
      <alignment horizontal="center" vertical="center" wrapText="1"/>
      <protection locked="0"/>
    </xf>
    <xf numFmtId="0" fontId="3" fillId="0" borderId="4" xfId="3" applyFont="1" applyBorder="1" applyAlignment="1" applyProtection="1">
      <alignment horizontal="center" vertical="center" wrapText="1"/>
      <protection locked="0"/>
    </xf>
    <xf numFmtId="171" fontId="2" fillId="0" borderId="0" xfId="0" applyNumberFormat="1" applyFont="1" applyAlignment="1" applyProtection="1">
      <alignment horizontal="center" vertical="center" wrapText="1"/>
      <protection locked="0"/>
    </xf>
    <xf numFmtId="0" fontId="3" fillId="0" borderId="21" xfId="3" applyFont="1" applyBorder="1" applyAlignment="1" applyProtection="1">
      <alignment horizontal="center" vertical="center" wrapText="1"/>
      <protection locked="0"/>
    </xf>
    <xf numFmtId="0" fontId="3" fillId="0" borderId="18" xfId="3" applyFont="1" applyBorder="1" applyAlignment="1" applyProtection="1">
      <alignment horizontal="center" vertical="center" wrapText="1"/>
      <protection locked="0"/>
    </xf>
    <xf numFmtId="0" fontId="3" fillId="0" borderId="5" xfId="3"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0" fillId="0" borderId="0" xfId="0" applyAlignment="1" applyProtection="1">
      <alignment wrapText="1"/>
      <protection locked="0"/>
    </xf>
    <xf numFmtId="0" fontId="19" fillId="3" borderId="2" xfId="0" applyFont="1" applyFill="1" applyBorder="1" applyAlignment="1" applyProtection="1">
      <alignment horizontal="center" vertical="center"/>
      <protection locked="0"/>
    </xf>
    <xf numFmtId="0" fontId="19" fillId="3" borderId="13" xfId="0" applyFont="1" applyFill="1" applyBorder="1" applyAlignment="1" applyProtection="1">
      <alignment horizontal="center" vertical="center" wrapText="1"/>
      <protection locked="0"/>
    </xf>
    <xf numFmtId="0" fontId="3" fillId="0" borderId="10" xfId="3" applyFont="1" applyBorder="1" applyAlignment="1" applyProtection="1">
      <alignment horizontal="center" vertical="center"/>
      <protection locked="0"/>
    </xf>
    <xf numFmtId="0" fontId="3" fillId="0" borderId="6" xfId="3" applyFont="1" applyBorder="1" applyAlignment="1" applyProtection="1">
      <alignment vertical="center" wrapText="1"/>
      <protection locked="0"/>
    </xf>
    <xf numFmtId="168" fontId="2" fillId="0" borderId="20" xfId="5" applyFont="1" applyFill="1" applyBorder="1" applyAlignment="1" applyProtection="1">
      <alignment horizontal="center" vertical="center" wrapText="1"/>
      <protection locked="0"/>
    </xf>
    <xf numFmtId="168" fontId="3" fillId="0" borderId="20" xfId="5" applyFont="1" applyFill="1" applyBorder="1" applyAlignment="1" applyProtection="1">
      <alignment horizontal="center" vertical="center" wrapText="1"/>
      <protection locked="0"/>
    </xf>
    <xf numFmtId="0" fontId="2" fillId="0" borderId="4" xfId="0" applyFont="1" applyBorder="1" applyAlignment="1" applyProtection="1">
      <alignment horizontal="center" vertical="center"/>
      <protection locked="0"/>
    </xf>
    <xf numFmtId="168" fontId="2" fillId="0" borderId="22" xfId="5" applyFont="1" applyFill="1" applyBorder="1" applyAlignment="1" applyProtection="1">
      <alignment horizontal="center" vertical="center" wrapText="1"/>
      <protection locked="0"/>
    </xf>
    <xf numFmtId="0" fontId="0" fillId="0" borderId="0" xfId="0" applyAlignment="1" applyProtection="1">
      <protection locked="0"/>
    </xf>
    <xf numFmtId="0" fontId="3" fillId="0" borderId="22" xfId="3" applyFont="1" applyBorder="1" applyAlignment="1" applyProtection="1">
      <alignment vertical="center" wrapText="1"/>
      <protection locked="0"/>
    </xf>
    <xf numFmtId="169" fontId="19" fillId="3" borderId="12" xfId="0" applyNumberFormat="1" applyFont="1" applyFill="1" applyBorder="1" applyAlignment="1" applyProtection="1">
      <alignment horizontal="center" vertical="center" wrapText="1"/>
      <protection locked="0"/>
    </xf>
    <xf numFmtId="3" fontId="3" fillId="0" borderId="18" xfId="3" applyNumberFormat="1" applyFont="1" applyBorder="1" applyAlignment="1" applyProtection="1">
      <alignment horizontal="center" vertical="center"/>
      <protection locked="0"/>
    </xf>
    <xf numFmtId="0" fontId="3" fillId="0" borderId="19" xfId="3" applyFont="1" applyBorder="1" applyAlignment="1" applyProtection="1">
      <alignment horizontal="center" vertical="center" wrapText="1"/>
      <protection locked="0"/>
    </xf>
    <xf numFmtId="169" fontId="3" fillId="0" borderId="10" xfId="3" applyNumberFormat="1" applyFont="1" applyBorder="1" applyAlignment="1" applyProtection="1">
      <alignment vertical="center" wrapText="1"/>
      <protection locked="0"/>
    </xf>
    <xf numFmtId="0" fontId="3" fillId="0" borderId="15" xfId="3" applyFont="1" applyBorder="1" applyAlignment="1" applyProtection="1">
      <alignment horizontal="center" vertical="center"/>
      <protection locked="0"/>
    </xf>
    <xf numFmtId="0" fontId="3" fillId="0" borderId="0" xfId="3" applyFont="1" applyAlignment="1" applyProtection="1">
      <alignment horizontal="center" vertical="center" wrapText="1"/>
      <protection locked="0"/>
    </xf>
    <xf numFmtId="169" fontId="2" fillId="0" borderId="0" xfId="3" applyNumberFormat="1" applyAlignment="1" applyProtection="1">
      <alignment vertical="center" wrapText="1"/>
      <protection locked="0"/>
    </xf>
    <xf numFmtId="2" fontId="2" fillId="0" borderId="0" xfId="3" applyNumberFormat="1" applyAlignment="1" applyProtection="1">
      <alignment horizontal="center" vertical="center" wrapText="1"/>
      <protection locked="0"/>
    </xf>
    <xf numFmtId="168" fontId="7" fillId="4" borderId="20" xfId="5" applyFont="1" applyFill="1" applyBorder="1" applyAlignment="1" applyProtection="1">
      <alignment horizontal="center" vertical="center" wrapText="1"/>
      <protection locked="0"/>
    </xf>
    <xf numFmtId="0" fontId="3" fillId="0" borderId="21" xfId="3" applyFont="1" applyBorder="1" applyAlignment="1" applyProtection="1">
      <alignment horizontal="center" vertical="center"/>
      <protection locked="0"/>
    </xf>
    <xf numFmtId="0" fontId="3" fillId="0" borderId="4" xfId="3" applyFont="1" applyBorder="1" applyAlignment="1" applyProtection="1">
      <alignment horizontal="center" vertical="center" wrapText="1"/>
      <protection locked="0"/>
    </xf>
    <xf numFmtId="3" fontId="3" fillId="0" borderId="18" xfId="3" applyNumberFormat="1" applyFont="1" applyBorder="1" applyAlignment="1" applyProtection="1">
      <alignment horizontal="center" vertical="center" wrapText="1"/>
      <protection locked="0"/>
    </xf>
    <xf numFmtId="168" fontId="7" fillId="0" borderId="20" xfId="5" applyFont="1" applyFill="1" applyBorder="1" applyAlignment="1" applyProtection="1">
      <alignment horizontal="center" vertical="center" wrapText="1"/>
      <protection locked="0"/>
    </xf>
    <xf numFmtId="3" fontId="3" fillId="0" borderId="15" xfId="3" applyNumberFormat="1" applyFont="1" applyBorder="1" applyAlignment="1" applyProtection="1">
      <alignment horizontal="center" vertical="center"/>
      <protection locked="0"/>
    </xf>
    <xf numFmtId="3" fontId="3" fillId="0" borderId="21" xfId="3" applyNumberFormat="1" applyFont="1" applyBorder="1" applyAlignment="1" applyProtection="1">
      <alignment horizontal="center" vertical="center"/>
      <protection locked="0"/>
    </xf>
    <xf numFmtId="2" fontId="2" fillId="0" borderId="0" xfId="0" quotePrefix="1" applyNumberFormat="1" applyFont="1" applyAlignment="1" applyProtection="1">
      <alignment horizontal="center" vertical="center" wrapText="1"/>
      <protection locked="0"/>
    </xf>
    <xf numFmtId="0" fontId="2" fillId="0" borderId="0" xfId="0" applyFont="1" applyAlignment="1" applyProtection="1">
      <alignment wrapText="1"/>
      <protection locked="0"/>
    </xf>
    <xf numFmtId="0" fontId="3" fillId="0" borderId="0" xfId="0" applyFont="1" applyAlignment="1" applyProtection="1">
      <alignment horizontal="left" vertical="center" wrapText="1"/>
      <protection locked="0"/>
    </xf>
    <xf numFmtId="0" fontId="11" fillId="0" borderId="0" xfId="6" applyNumberFormat="1" applyBorder="1" applyAlignment="1" applyProtection="1">
      <alignment horizontal="left" vertical="center" wrapText="1"/>
      <protection locked="0"/>
    </xf>
    <xf numFmtId="0" fontId="11" fillId="0" borderId="0" xfId="6" applyBorder="1" applyAlignment="1" applyProtection="1">
      <alignment wrapText="1"/>
      <protection locked="0"/>
    </xf>
    <xf numFmtId="168" fontId="5" fillId="0" borderId="20" xfId="5" applyFont="1" applyBorder="1" applyAlignment="1" applyProtection="1">
      <alignment horizontal="center" vertical="center" wrapText="1"/>
      <protection locked="0"/>
    </xf>
    <xf numFmtId="172" fontId="2" fillId="0" borderId="0" xfId="0" applyNumberFormat="1" applyFont="1" applyAlignment="1" applyProtection="1">
      <alignment horizontal="center" vertical="center" wrapText="1"/>
      <protection locked="0"/>
    </xf>
    <xf numFmtId="0" fontId="2" fillId="0" borderId="20" xfId="0" applyFont="1" applyBorder="1" applyProtection="1">
      <protection locked="0"/>
    </xf>
    <xf numFmtId="169" fontId="2" fillId="0" borderId="4" xfId="0" applyNumberFormat="1" applyFont="1" applyBorder="1" applyAlignment="1" applyProtection="1">
      <alignment horizontal="center" vertical="center" wrapText="1"/>
      <protection locked="0"/>
    </xf>
    <xf numFmtId="169" fontId="3" fillId="0" borderId="10" xfId="3" applyNumberFormat="1" applyFont="1" applyBorder="1" applyAlignment="1" applyProtection="1">
      <alignment horizontal="center" vertical="center" wrapText="1"/>
      <protection locked="0"/>
    </xf>
    <xf numFmtId="168" fontId="3" fillId="0" borderId="10" xfId="3" applyNumberFormat="1" applyFont="1" applyBorder="1" applyAlignment="1" applyProtection="1">
      <alignment horizontal="center" vertical="center" wrapText="1"/>
      <protection locked="0"/>
    </xf>
    <xf numFmtId="168" fontId="2" fillId="0" borderId="0" xfId="5" applyFont="1" applyBorder="1" applyAlignment="1" applyProtection="1">
      <alignment horizontal="center" vertical="center"/>
      <protection locked="0"/>
    </xf>
    <xf numFmtId="168" fontId="2" fillId="0" borderId="20" xfId="5" applyFont="1" applyBorder="1" applyAlignment="1" applyProtection="1">
      <alignment horizontal="center" vertical="center"/>
      <protection locked="0"/>
    </xf>
    <xf numFmtId="168" fontId="2" fillId="0" borderId="4" xfId="5" applyFont="1" applyBorder="1" applyAlignment="1" applyProtection="1">
      <alignment horizontal="center" vertical="center"/>
      <protection locked="0"/>
    </xf>
    <xf numFmtId="168" fontId="2" fillId="0" borderId="22" xfId="5" applyFont="1" applyBorder="1" applyAlignment="1" applyProtection="1">
      <alignment horizontal="center" vertical="center"/>
      <protection locked="0"/>
    </xf>
  </cellXfs>
  <cellStyles count="213">
    <cellStyle name="Cancel" xfId="24"/>
    <cellStyle name="Cancel 2" xfId="25"/>
    <cellStyle name="Hiperlink" xfId="6" builtinId="8"/>
    <cellStyle name="Hiperlink 2" xfId="114"/>
    <cellStyle name="Hiperlink 3" xfId="26"/>
    <cellStyle name="Moeda 2" xfId="5"/>
    <cellStyle name="Moeda 2 2" xfId="116"/>
    <cellStyle name="Moeda 2 3" xfId="208"/>
    <cellStyle name="Moeda 2 4" xfId="112"/>
    <cellStyle name="Moeda 3" xfId="115"/>
    <cellStyle name="Moeda 3 2" xfId="210"/>
    <cellStyle name="Moeda 4" xfId="205"/>
    <cellStyle name="Moeda 5" xfId="108"/>
    <cellStyle name="Moeda 6" xfId="212"/>
    <cellStyle name="Normal" xfId="0" builtinId="0"/>
    <cellStyle name="Normal 2" xfId="11"/>
    <cellStyle name="Normal 2 2" xfId="12"/>
    <cellStyle name="Normal 2 2 2" xfId="13"/>
    <cellStyle name="Normal 2 3" xfId="14"/>
    <cellStyle name="Normal 2 4" xfId="111"/>
    <cellStyle name="Normal 3" xfId="15"/>
    <cellStyle name="Normal 4" xfId="16"/>
    <cellStyle name="Normal 4 10" xfId="76"/>
    <cellStyle name="Normal 4 10 2" xfId="173"/>
    <cellStyle name="Normal 4 11" xfId="84"/>
    <cellStyle name="Normal 4 11 2" xfId="181"/>
    <cellStyle name="Normal 4 12" xfId="92"/>
    <cellStyle name="Normal 4 12 2" xfId="189"/>
    <cellStyle name="Normal 4 13" xfId="100"/>
    <cellStyle name="Normal 4 13 2" xfId="197"/>
    <cellStyle name="Normal 4 14" xfId="32"/>
    <cellStyle name="Normal 4 14 2" xfId="129"/>
    <cellStyle name="Normal 4 15" xfId="104"/>
    <cellStyle name="Normal 4 15 2" xfId="201"/>
    <cellStyle name="Normal 4 16" xfId="118"/>
    <cellStyle name="Normal 4 2" xfId="28"/>
    <cellStyle name="Normal 4 2 2" xfId="64"/>
    <cellStyle name="Normal 4 2 2 2" xfId="161"/>
    <cellStyle name="Normal 4 2 3" xfId="72"/>
    <cellStyle name="Normal 4 2 3 2" xfId="169"/>
    <cellStyle name="Normal 4 2 4" xfId="80"/>
    <cellStyle name="Normal 4 2 4 2" xfId="177"/>
    <cellStyle name="Normal 4 2 5" xfId="88"/>
    <cellStyle name="Normal 4 2 5 2" xfId="185"/>
    <cellStyle name="Normal 4 2 6" xfId="96"/>
    <cellStyle name="Normal 4 2 6 2" xfId="193"/>
    <cellStyle name="Normal 4 2 7" xfId="36"/>
    <cellStyle name="Normal 4 2 7 2" xfId="133"/>
    <cellStyle name="Normal 4 2 8" xfId="125"/>
    <cellStyle name="Normal 4 3" xfId="40"/>
    <cellStyle name="Normal 4 3 2" xfId="137"/>
    <cellStyle name="Normal 4 4" xfId="44"/>
    <cellStyle name="Normal 4 4 2" xfId="141"/>
    <cellStyle name="Normal 4 5" xfId="48"/>
    <cellStyle name="Normal 4 5 2" xfId="145"/>
    <cellStyle name="Normal 4 6" xfId="52"/>
    <cellStyle name="Normal 4 6 2" xfId="149"/>
    <cellStyle name="Normal 4 7" xfId="56"/>
    <cellStyle name="Normal 4 7 2" xfId="153"/>
    <cellStyle name="Normal 4 8" xfId="60"/>
    <cellStyle name="Normal 4 8 2" xfId="157"/>
    <cellStyle name="Normal 4 9" xfId="68"/>
    <cellStyle name="Normal 4 9 2" xfId="165"/>
    <cellStyle name="Normal 5" xfId="27"/>
    <cellStyle name="Normal 5 10" xfId="79"/>
    <cellStyle name="Normal 5 10 2" xfId="176"/>
    <cellStyle name="Normal 5 11" xfId="87"/>
    <cellStyle name="Normal 5 11 2" xfId="184"/>
    <cellStyle name="Normal 5 12" xfId="95"/>
    <cellStyle name="Normal 5 12 2" xfId="192"/>
    <cellStyle name="Normal 5 13" xfId="103"/>
    <cellStyle name="Normal 5 13 2" xfId="200"/>
    <cellStyle name="Normal 5 14" xfId="35"/>
    <cellStyle name="Normal 5 14 2" xfId="132"/>
    <cellStyle name="Normal 5 15" xfId="107"/>
    <cellStyle name="Normal 5 15 2" xfId="204"/>
    <cellStyle name="Normal 5 16" xfId="124"/>
    <cellStyle name="Normal 5 2" xfId="31"/>
    <cellStyle name="Normal 5 2 2" xfId="67"/>
    <cellStyle name="Normal 5 2 2 2" xfId="164"/>
    <cellStyle name="Normal 5 2 3" xfId="75"/>
    <cellStyle name="Normal 5 2 3 2" xfId="172"/>
    <cellStyle name="Normal 5 2 4" xfId="83"/>
    <cellStyle name="Normal 5 2 4 2" xfId="180"/>
    <cellStyle name="Normal 5 2 5" xfId="91"/>
    <cellStyle name="Normal 5 2 5 2" xfId="188"/>
    <cellStyle name="Normal 5 2 6" xfId="99"/>
    <cellStyle name="Normal 5 2 6 2" xfId="196"/>
    <cellStyle name="Normal 5 2 7" xfId="39"/>
    <cellStyle name="Normal 5 2 7 2" xfId="136"/>
    <cellStyle name="Normal 5 2 8" xfId="128"/>
    <cellStyle name="Normal 5 3" xfId="43"/>
    <cellStyle name="Normal 5 3 2" xfId="140"/>
    <cellStyle name="Normal 5 4" xfId="47"/>
    <cellStyle name="Normal 5 4 2" xfId="144"/>
    <cellStyle name="Normal 5 5" xfId="51"/>
    <cellStyle name="Normal 5 5 2" xfId="148"/>
    <cellStyle name="Normal 5 6" xfId="55"/>
    <cellStyle name="Normal 5 6 2" xfId="152"/>
    <cellStyle name="Normal 5 7" xfId="59"/>
    <cellStyle name="Normal 5 7 2" xfId="156"/>
    <cellStyle name="Normal 5 8" xfId="63"/>
    <cellStyle name="Normal 5 8 2" xfId="160"/>
    <cellStyle name="Normal 5 9" xfId="71"/>
    <cellStyle name="Normal 5 9 2" xfId="168"/>
    <cellStyle name="Normal 6" xfId="7"/>
    <cellStyle name="Normal_Composições" xfId="3"/>
    <cellStyle name="Porcentagem" xfId="2" builtinId="5"/>
    <cellStyle name="Porcentagem 2" xfId="10"/>
    <cellStyle name="Porcentagem 2 2" xfId="17"/>
    <cellStyle name="Porcentagem 3" xfId="18"/>
    <cellStyle name="Porcentagem 4" xfId="19"/>
    <cellStyle name="Porcentagem 4 10" xfId="77"/>
    <cellStyle name="Porcentagem 4 10 2" xfId="174"/>
    <cellStyle name="Porcentagem 4 11" xfId="85"/>
    <cellStyle name="Porcentagem 4 11 2" xfId="182"/>
    <cellStyle name="Porcentagem 4 12" xfId="93"/>
    <cellStyle name="Porcentagem 4 12 2" xfId="190"/>
    <cellStyle name="Porcentagem 4 13" xfId="101"/>
    <cellStyle name="Porcentagem 4 13 2" xfId="198"/>
    <cellStyle name="Porcentagem 4 14" xfId="33"/>
    <cellStyle name="Porcentagem 4 14 2" xfId="130"/>
    <cellStyle name="Porcentagem 4 15" xfId="105"/>
    <cellStyle name="Porcentagem 4 15 2" xfId="202"/>
    <cellStyle name="Porcentagem 4 16" xfId="119"/>
    <cellStyle name="Porcentagem 4 2" xfId="29"/>
    <cellStyle name="Porcentagem 4 2 2" xfId="65"/>
    <cellStyle name="Porcentagem 4 2 2 2" xfId="162"/>
    <cellStyle name="Porcentagem 4 2 3" xfId="73"/>
    <cellStyle name="Porcentagem 4 2 3 2" xfId="170"/>
    <cellStyle name="Porcentagem 4 2 4" xfId="81"/>
    <cellStyle name="Porcentagem 4 2 4 2" xfId="178"/>
    <cellStyle name="Porcentagem 4 2 5" xfId="89"/>
    <cellStyle name="Porcentagem 4 2 5 2" xfId="186"/>
    <cellStyle name="Porcentagem 4 2 6" xfId="97"/>
    <cellStyle name="Porcentagem 4 2 6 2" xfId="194"/>
    <cellStyle name="Porcentagem 4 2 7" xfId="37"/>
    <cellStyle name="Porcentagem 4 2 7 2" xfId="134"/>
    <cellStyle name="Porcentagem 4 2 8" xfId="126"/>
    <cellStyle name="Porcentagem 4 3" xfId="41"/>
    <cellStyle name="Porcentagem 4 3 2" xfId="138"/>
    <cellStyle name="Porcentagem 4 4" xfId="45"/>
    <cellStyle name="Porcentagem 4 4 2" xfId="142"/>
    <cellStyle name="Porcentagem 4 5" xfId="49"/>
    <cellStyle name="Porcentagem 4 5 2" xfId="146"/>
    <cellStyle name="Porcentagem 4 6" xfId="53"/>
    <cellStyle name="Porcentagem 4 6 2" xfId="150"/>
    <cellStyle name="Porcentagem 4 7" xfId="57"/>
    <cellStyle name="Porcentagem 4 7 2" xfId="154"/>
    <cellStyle name="Porcentagem 4 8" xfId="61"/>
    <cellStyle name="Porcentagem 4 8 2" xfId="158"/>
    <cellStyle name="Porcentagem 4 9" xfId="69"/>
    <cellStyle name="Porcentagem 4 9 2" xfId="166"/>
    <cellStyle name="Porcentagem 5" xfId="9"/>
    <cellStyle name="Separador de milhares 2" xfId="20"/>
    <cellStyle name="Separador de milhares 2 2" xfId="21"/>
    <cellStyle name="Separador de milhares 2 2 2" xfId="22"/>
    <cellStyle name="Separador de milhares 2 2 2 2" xfId="122"/>
    <cellStyle name="Separador de milhares 2 2 3" xfId="121"/>
    <cellStyle name="Separador de milhares 2 3" xfId="110"/>
    <cellStyle name="Separador de milhares 2 3 2" xfId="207"/>
    <cellStyle name="Separador de milhares 2 4" xfId="120"/>
    <cellStyle name="Separador de milhares 3" xfId="23"/>
    <cellStyle name="Separador de milhares 3 10" xfId="78"/>
    <cellStyle name="Separador de milhares 3 10 2" xfId="175"/>
    <cellStyle name="Separador de milhares 3 11" xfId="86"/>
    <cellStyle name="Separador de milhares 3 11 2" xfId="183"/>
    <cellStyle name="Separador de milhares 3 12" xfId="94"/>
    <cellStyle name="Separador de milhares 3 12 2" xfId="191"/>
    <cellStyle name="Separador de milhares 3 13" xfId="102"/>
    <cellStyle name="Separador de milhares 3 13 2" xfId="199"/>
    <cellStyle name="Separador de milhares 3 14" xfId="34"/>
    <cellStyle name="Separador de milhares 3 14 2" xfId="131"/>
    <cellStyle name="Separador de milhares 3 15" xfId="106"/>
    <cellStyle name="Separador de milhares 3 15 2" xfId="203"/>
    <cellStyle name="Separador de milhares 3 16" xfId="123"/>
    <cellStyle name="Separador de milhares 3 2" xfId="30"/>
    <cellStyle name="Separador de milhares 3 2 2" xfId="66"/>
    <cellStyle name="Separador de milhares 3 2 2 2" xfId="163"/>
    <cellStyle name="Separador de milhares 3 2 3" xfId="74"/>
    <cellStyle name="Separador de milhares 3 2 3 2" xfId="171"/>
    <cellStyle name="Separador de milhares 3 2 4" xfId="82"/>
    <cellStyle name="Separador de milhares 3 2 4 2" xfId="179"/>
    <cellStyle name="Separador de milhares 3 2 5" xfId="90"/>
    <cellStyle name="Separador de milhares 3 2 5 2" xfId="187"/>
    <cellStyle name="Separador de milhares 3 2 6" xfId="98"/>
    <cellStyle name="Separador de milhares 3 2 6 2" xfId="195"/>
    <cellStyle name="Separador de milhares 3 2 7" xfId="38"/>
    <cellStyle name="Separador de milhares 3 2 7 2" xfId="135"/>
    <cellStyle name="Separador de milhares 3 2 8" xfId="127"/>
    <cellStyle name="Separador de milhares 3 3" xfId="42"/>
    <cellStyle name="Separador de milhares 3 3 2" xfId="139"/>
    <cellStyle name="Separador de milhares 3 4" xfId="46"/>
    <cellStyle name="Separador de milhares 3 4 2" xfId="143"/>
    <cellStyle name="Separador de milhares 3 5" xfId="50"/>
    <cellStyle name="Separador de milhares 3 5 2" xfId="147"/>
    <cellStyle name="Separador de milhares 3 6" xfId="54"/>
    <cellStyle name="Separador de milhares 3 6 2" xfId="151"/>
    <cellStyle name="Separador de milhares 3 7" xfId="58"/>
    <cellStyle name="Separador de milhares 3 7 2" xfId="155"/>
    <cellStyle name="Separador de milhares 3 8" xfId="62"/>
    <cellStyle name="Separador de milhares 3 8 2" xfId="159"/>
    <cellStyle name="Separador de milhares 3 9" xfId="70"/>
    <cellStyle name="Separador de milhares 3 9 2" xfId="167"/>
    <cellStyle name="Separador de milhares 4" xfId="113"/>
    <cellStyle name="Separador de milhares 4 2" xfId="209"/>
    <cellStyle name="Separador de milhares_MODELO CÂMARA" xfId="4"/>
    <cellStyle name="Vírgula" xfId="1" builtinId="3"/>
    <cellStyle name="Vírgula 2" xfId="109"/>
    <cellStyle name="Vírgula 2 2" xfId="206"/>
    <cellStyle name="Vírgula 3" xfId="117"/>
    <cellStyle name="Vírgula 4" xfId="8"/>
    <cellStyle name="Vírgula 5" xfId="211"/>
  </cellStyles>
  <dxfs count="157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00FF"/>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9C0006"/>
      </font>
      <fill>
        <patternFill>
          <bgColor rgb="FFFFC7CE"/>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30082</xdr:colOff>
      <xdr:row>27</xdr:row>
      <xdr:rowOff>120066</xdr:rowOff>
    </xdr:from>
    <xdr:to>
      <xdr:col>3</xdr:col>
      <xdr:colOff>1188921</xdr:colOff>
      <xdr:row>45</xdr:row>
      <xdr:rowOff>26769</xdr:rowOff>
    </xdr:to>
    <xdr:pic>
      <xdr:nvPicPr>
        <xdr:cNvPr id="2" name="Imagem 1">
          <a:extLst>
            <a:ext uri="{FF2B5EF4-FFF2-40B4-BE49-F238E27FC236}">
              <a16:creationId xmlns:a16="http://schemas.microsoft.com/office/drawing/2014/main" xmlns="" id="{656868C2-726C-4F85-8760-4FE08709ADA2}"/>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denverimper.com.br/files/produtos/0000001-0000500/122/e5fe48d2b8810574e94921c5fb6cea0c.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comments" Target="../comments1.x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vedacit.com.br/produtos/primer-eco-vedacit" TargetMode="External"/><Relationship Id="rId11" Type="http://schemas.openxmlformats.org/officeDocument/2006/relationships/vmlDrawing" Target="../drawings/vmlDrawing3.vml"/><Relationship Id="rId5" Type="http://schemas.openxmlformats.org/officeDocument/2006/relationships/hyperlink" Target="http://www.bautechbrasil.com.br/produtos/pinturas-especiais-e-complementos/bautech-resina-acr%C3%ADlica-multiuso" TargetMode="External"/><Relationship Id="rId10" Type="http://schemas.openxmlformats.org/officeDocument/2006/relationships/vmlDrawing" Target="../drawings/vmlDrawing2.vml"/><Relationship Id="rId4" Type="http://schemas.openxmlformats.org/officeDocument/2006/relationships/hyperlink" Target="http://www.bautechbrasil.com.br/produtos/selantes-especiais/bautech-selante-acr%C3%ADlico"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filterMode="1">
    <pageSetUpPr fitToPage="1"/>
  </sheetPr>
  <dimension ref="A1:I1244"/>
  <sheetViews>
    <sheetView tabSelected="1" zoomScale="80" zoomScaleNormal="80" workbookViewId="0"/>
  </sheetViews>
  <sheetFormatPr defaultRowHeight="15" x14ac:dyDescent="0.25"/>
  <cols>
    <col min="1" max="1" width="14.7109375" customWidth="1"/>
    <col min="2" max="2" width="80.7109375" style="5" customWidth="1"/>
    <col min="3" max="4" width="15.7109375" customWidth="1"/>
    <col min="5" max="6" width="20.7109375" customWidth="1"/>
    <col min="7" max="7" width="15.7109375" customWidth="1"/>
    <col min="8" max="9" width="20.7109375" customWidth="1"/>
  </cols>
  <sheetData>
    <row r="1" spans="1:9" ht="24.95" customHeight="1" x14ac:dyDescent="0.25">
      <c r="A1" s="96" t="s">
        <v>4606</v>
      </c>
      <c r="B1" s="126"/>
      <c r="C1" s="96"/>
      <c r="D1" s="96"/>
      <c r="E1" s="96"/>
      <c r="F1" s="96"/>
      <c r="G1" s="96"/>
      <c r="H1" s="96"/>
      <c r="I1" s="96"/>
    </row>
    <row r="2" spans="1:9" ht="24.95" customHeight="1" x14ac:dyDescent="0.25">
      <c r="A2" s="97" t="s">
        <v>2709</v>
      </c>
      <c r="B2" s="127"/>
      <c r="C2" s="97"/>
      <c r="D2" s="97"/>
      <c r="E2" s="97"/>
      <c r="F2" s="97"/>
      <c r="G2" s="97"/>
      <c r="H2" s="97"/>
      <c r="I2" s="97"/>
    </row>
    <row r="3" spans="1:9" ht="20.100000000000001" customHeight="1" x14ac:dyDescent="0.25">
      <c r="A3" s="98" t="s">
        <v>4605</v>
      </c>
      <c r="B3" s="98"/>
      <c r="C3" s="98"/>
      <c r="D3" s="98"/>
      <c r="E3" s="98"/>
      <c r="F3" s="98"/>
      <c r="G3" s="98"/>
      <c r="H3" s="98"/>
      <c r="I3" s="98"/>
    </row>
    <row r="4" spans="1:9" ht="18" customHeight="1" thickBot="1" x14ac:dyDescent="0.3">
      <c r="A4" s="195"/>
      <c r="B4" s="196"/>
      <c r="C4" s="197"/>
      <c r="D4" s="197"/>
      <c r="E4" s="99"/>
      <c r="F4" s="214"/>
      <c r="G4" s="196"/>
      <c r="H4" s="196"/>
      <c r="I4" s="99"/>
    </row>
    <row r="5" spans="1:9" ht="45" customHeight="1" x14ac:dyDescent="0.25">
      <c r="A5" s="207" t="s">
        <v>6</v>
      </c>
      <c r="B5" s="208" t="s">
        <v>7</v>
      </c>
      <c r="C5" s="208" t="s">
        <v>9</v>
      </c>
      <c r="D5" s="209" t="s">
        <v>2710</v>
      </c>
      <c r="E5" s="210" t="s">
        <v>12</v>
      </c>
      <c r="F5" s="210" t="s">
        <v>2711</v>
      </c>
      <c r="G5" s="210" t="s">
        <v>2712</v>
      </c>
      <c r="H5" s="210" t="s">
        <v>2713</v>
      </c>
      <c r="I5" s="211" t="s">
        <v>14</v>
      </c>
    </row>
    <row r="6" spans="1:9" x14ac:dyDescent="0.25">
      <c r="A6" s="204" t="s">
        <v>18</v>
      </c>
      <c r="B6" s="205" t="s">
        <v>2714</v>
      </c>
      <c r="C6" s="206" t="s">
        <v>2715</v>
      </c>
      <c r="D6" s="206">
        <v>120</v>
      </c>
      <c r="E6" s="158">
        <f ca="1">OFFSET(INDEX(Composições!A:J,MATCH(Orçamentária!A6,Composições!A:A,0),10),2,0)</f>
        <v>71.591999999999999</v>
      </c>
      <c r="F6" s="159">
        <f ca="1">IF(ISNUMBER(E6),D6*E6,"")</f>
        <v>8591.0399999999991</v>
      </c>
      <c r="G6" s="160">
        <f>BDI!$C$17</f>
        <v>0.24479999999999999</v>
      </c>
      <c r="H6" s="161">
        <f ca="1">IF(ISNUMBER(E6),ROUND(E6*(1+G6),2),"")</f>
        <v>89.12</v>
      </c>
      <c r="I6" s="199">
        <f ca="1">IF(ISNUMBER(E6),ROUND(H6*D6,2),"")</f>
        <v>10694.4</v>
      </c>
    </row>
    <row r="7" spans="1:9" x14ac:dyDescent="0.25">
      <c r="A7" s="204" t="s">
        <v>22</v>
      </c>
      <c r="B7" s="205" t="s">
        <v>2716</v>
      </c>
      <c r="C7" s="206" t="s">
        <v>2715</v>
      </c>
      <c r="D7" s="206">
        <v>480</v>
      </c>
      <c r="E7" s="158">
        <f ca="1">OFFSET(INDEX(Composições!A:J,MATCH(Orçamentária!A7,Composições!A:A,0),10),2,0)</f>
        <v>22.049499999999998</v>
      </c>
      <c r="F7" s="159">
        <f t="shared" ref="F7:F70" ca="1" si="0">IF(ISNUMBER(E7),D7*E7,"")</f>
        <v>10583.759999999998</v>
      </c>
      <c r="G7" s="160">
        <f>BDI!$C$17</f>
        <v>0.24479999999999999</v>
      </c>
      <c r="H7" s="161">
        <f t="shared" ref="H7:H70" ca="1" si="1">IF(ISNUMBER(E7),ROUND(E7*(1+G7),2),"")</f>
        <v>27.45</v>
      </c>
      <c r="I7" s="199">
        <f t="shared" ref="I7:I70" ca="1" si="2">IF(ISNUMBER(E7),ROUND(H7*D7,2),"")</f>
        <v>13176</v>
      </c>
    </row>
    <row r="8" spans="1:9" x14ac:dyDescent="0.25">
      <c r="A8" s="204" t="s">
        <v>25</v>
      </c>
      <c r="B8" s="205" t="s">
        <v>2717</v>
      </c>
      <c r="C8" s="206" t="s">
        <v>32</v>
      </c>
      <c r="D8" s="206">
        <v>1</v>
      </c>
      <c r="E8" s="158">
        <f ca="1">OFFSET(INDEX(Composições!A:J,MATCH(Orçamentária!A8,Composições!A:A,0),10),2,0)</f>
        <v>1301.424</v>
      </c>
      <c r="F8" s="159">
        <f t="shared" ca="1" si="0"/>
        <v>1301.424</v>
      </c>
      <c r="G8" s="160">
        <f>BDI!$C$17</f>
        <v>0.24479999999999999</v>
      </c>
      <c r="H8" s="161">
        <f t="shared" ca="1" si="1"/>
        <v>1620.01</v>
      </c>
      <c r="I8" s="199">
        <f t="shared" ca="1" si="2"/>
        <v>1620.01</v>
      </c>
    </row>
    <row r="9" spans="1:9" x14ac:dyDescent="0.25">
      <c r="A9" s="204" t="s">
        <v>28</v>
      </c>
      <c r="B9" s="205" t="s">
        <v>2718</v>
      </c>
      <c r="C9" s="206" t="s">
        <v>32</v>
      </c>
      <c r="D9" s="206">
        <v>1</v>
      </c>
      <c r="E9" s="158">
        <f ca="1">OFFSET(INDEX(Composições!A:J,MATCH(Orçamentária!A9,Composições!A:A,0),10),2,0)</f>
        <v>1866.23</v>
      </c>
      <c r="F9" s="159">
        <f t="shared" ca="1" si="0"/>
        <v>1866.23</v>
      </c>
      <c r="G9" s="160">
        <f>BDI!$C$17</f>
        <v>0.24479999999999999</v>
      </c>
      <c r="H9" s="161">
        <f t="shared" ca="1" si="1"/>
        <v>2323.08</v>
      </c>
      <c r="I9" s="199">
        <f t="shared" ca="1" si="2"/>
        <v>2323.08</v>
      </c>
    </row>
    <row r="10" spans="1:9" x14ac:dyDescent="0.25">
      <c r="A10" s="204" t="s">
        <v>34</v>
      </c>
      <c r="B10" s="205" t="s">
        <v>2719</v>
      </c>
      <c r="C10" s="206" t="s">
        <v>228</v>
      </c>
      <c r="D10" s="206">
        <v>8.91</v>
      </c>
      <c r="E10" s="158">
        <f ca="1">OFFSET(INDEX(Composições!A:J,MATCH(Orçamentária!A10,Composições!A:A,0),10),2,0)</f>
        <v>37.612147300000004</v>
      </c>
      <c r="F10" s="159">
        <f t="shared" ca="1" si="0"/>
        <v>335.12423244300004</v>
      </c>
      <c r="G10" s="160">
        <f>BDI!$C$17</f>
        <v>0.24479999999999999</v>
      </c>
      <c r="H10" s="161">
        <f t="shared" ca="1" si="1"/>
        <v>46.82</v>
      </c>
      <c r="I10" s="199">
        <f t="shared" ca="1" si="2"/>
        <v>417.17</v>
      </c>
    </row>
    <row r="11" spans="1:9" x14ac:dyDescent="0.25">
      <c r="A11" s="204" t="s">
        <v>40</v>
      </c>
      <c r="B11" s="205" t="s">
        <v>2720</v>
      </c>
      <c r="C11" s="206" t="s">
        <v>228</v>
      </c>
      <c r="D11" s="206">
        <v>5.65</v>
      </c>
      <c r="E11" s="158">
        <f ca="1">OFFSET(INDEX(Composições!A:J,MATCH(Orçamentária!A11,Composições!A:A,0),10),2,0)</f>
        <v>211.12324999999998</v>
      </c>
      <c r="F11" s="159">
        <f t="shared" ca="1" si="0"/>
        <v>1192.8463624999999</v>
      </c>
      <c r="G11" s="160">
        <f>BDI!$C$17</f>
        <v>0.24479999999999999</v>
      </c>
      <c r="H11" s="161">
        <f t="shared" ca="1" si="1"/>
        <v>262.81</v>
      </c>
      <c r="I11" s="199">
        <f t="shared" ca="1" si="2"/>
        <v>1484.88</v>
      </c>
    </row>
    <row r="12" spans="1:9" x14ac:dyDescent="0.25">
      <c r="A12" s="204" t="s">
        <v>43</v>
      </c>
      <c r="B12" s="205" t="s">
        <v>2721</v>
      </c>
      <c r="C12" s="206" t="s">
        <v>189</v>
      </c>
      <c r="D12" s="206">
        <v>18.059999999999999</v>
      </c>
      <c r="E12" s="158">
        <f ca="1">OFFSET(INDEX(Composições!A:J,MATCH(Orçamentária!A12,Composições!A:A,0),10),2,0)</f>
        <v>10.028199999999998</v>
      </c>
      <c r="F12" s="159">
        <f t="shared" ca="1" si="0"/>
        <v>181.10929199999995</v>
      </c>
      <c r="G12" s="160">
        <f>BDI!$C$17</f>
        <v>0.24479999999999999</v>
      </c>
      <c r="H12" s="161">
        <f t="shared" ca="1" si="1"/>
        <v>12.48</v>
      </c>
      <c r="I12" s="199">
        <f t="shared" ca="1" si="2"/>
        <v>225.39</v>
      </c>
    </row>
    <row r="13" spans="1:9" hidden="1" x14ac:dyDescent="0.25">
      <c r="A13" s="102" t="s">
        <v>46</v>
      </c>
      <c r="B13" s="103" t="s">
        <v>2722</v>
      </c>
      <c r="C13" s="104" t="s">
        <v>189</v>
      </c>
      <c r="D13" s="104">
        <v>0</v>
      </c>
      <c r="E13" s="158">
        <f ca="1">OFFSET(INDEX(Composições!A:J,MATCH(Orçamentária!A13,Composições!A:A,0),10),2,0)</f>
        <v>5.081783699999999</v>
      </c>
      <c r="F13" s="159">
        <f t="shared" ca="1" si="0"/>
        <v>0</v>
      </c>
      <c r="G13" s="160" t="e">
        <f>IF(A13&lt;&gt;"",IF(AND(#REF!="Padrão",$H$4=#REF!),BDI!$B$17,IF(AND(#REF!="Padrão",$H$4=#REF!),BDI!$C$17,IF(AND(#REF!="Diferenciado",$H$4=#REF!),BDI!$G$17,IF(AND(#REF!="Diferenciado",$H$4=#REF!),BDI!$H$17,IF(#REF!="ZERO",0))))),"")</f>
        <v>#REF!</v>
      </c>
      <c r="H13" s="161" t="e">
        <f t="shared" ca="1" si="1"/>
        <v>#REF!</v>
      </c>
      <c r="I13" s="198" t="e">
        <f t="shared" ca="1" si="2"/>
        <v>#REF!</v>
      </c>
    </row>
    <row r="14" spans="1:9" x14ac:dyDescent="0.25">
      <c r="A14" s="204" t="s">
        <v>50</v>
      </c>
      <c r="B14" s="205" t="s">
        <v>2723</v>
      </c>
      <c r="C14" s="206" t="s">
        <v>189</v>
      </c>
      <c r="D14" s="206">
        <v>64</v>
      </c>
      <c r="E14" s="158">
        <f ca="1">OFFSET(INDEX(Composições!A:J,MATCH(Orçamentária!A14,Composições!A:A,0),10),2,0)</f>
        <v>1.1059880999999998</v>
      </c>
      <c r="F14" s="159">
        <f t="shared" ca="1" si="0"/>
        <v>70.783238399999988</v>
      </c>
      <c r="G14" s="160">
        <f>BDI!$C$17</f>
        <v>0.24479999999999999</v>
      </c>
      <c r="H14" s="161">
        <f t="shared" ca="1" si="1"/>
        <v>1.38</v>
      </c>
      <c r="I14" s="202">
        <f t="shared" ca="1" si="2"/>
        <v>88.32</v>
      </c>
    </row>
    <row r="15" spans="1:9" x14ac:dyDescent="0.25">
      <c r="A15" s="204" t="s">
        <v>52</v>
      </c>
      <c r="B15" s="205" t="s">
        <v>2724</v>
      </c>
      <c r="C15" s="206" t="s">
        <v>184</v>
      </c>
      <c r="D15" s="206">
        <v>57</v>
      </c>
      <c r="E15" s="158">
        <f ca="1">OFFSET(INDEX(Composições!A:J,MATCH(Orçamentária!A15,Composições!A:A,0),10),2,0)</f>
        <v>2.2736919999999996</v>
      </c>
      <c r="F15" s="159">
        <f t="shared" ca="1" si="0"/>
        <v>129.60044399999998</v>
      </c>
      <c r="G15" s="160">
        <f>BDI!$C$17</f>
        <v>0.24479999999999999</v>
      </c>
      <c r="H15" s="161">
        <f t="shared" ca="1" si="1"/>
        <v>2.83</v>
      </c>
      <c r="I15" s="199">
        <f t="shared" ca="1" si="2"/>
        <v>161.31</v>
      </c>
    </row>
    <row r="16" spans="1:9" x14ac:dyDescent="0.25">
      <c r="A16" s="204" t="s">
        <v>56</v>
      </c>
      <c r="B16" s="205" t="s">
        <v>2725</v>
      </c>
      <c r="C16" s="206" t="s">
        <v>189</v>
      </c>
      <c r="D16" s="206">
        <v>40.15</v>
      </c>
      <c r="E16" s="158">
        <f ca="1">OFFSET(INDEX(Composições!A:J,MATCH(Orçamentária!A16,Composições!A:A,0),10),2,0)</f>
        <v>8.3094296000000014</v>
      </c>
      <c r="F16" s="159">
        <f t="shared" ca="1" si="0"/>
        <v>333.62359844000002</v>
      </c>
      <c r="G16" s="160">
        <f>BDI!$C$17</f>
        <v>0.24479999999999999</v>
      </c>
      <c r="H16" s="161">
        <f t="shared" ca="1" si="1"/>
        <v>10.34</v>
      </c>
      <c r="I16" s="199">
        <f t="shared" ca="1" si="2"/>
        <v>415.15</v>
      </c>
    </row>
    <row r="17" spans="1:9" hidden="1" x14ac:dyDescent="0.25">
      <c r="A17" s="102" t="s">
        <v>66</v>
      </c>
      <c r="B17" s="103" t="s">
        <v>2726</v>
      </c>
      <c r="C17" s="104" t="s">
        <v>189</v>
      </c>
      <c r="D17" s="104">
        <v>0</v>
      </c>
      <c r="E17" s="158">
        <f ca="1">OFFSET(INDEX(Composições!A:J,MATCH(Orçamentária!A17,Composições!A:A,0),10),2,0)</f>
        <v>2.2244573000000001</v>
      </c>
      <c r="F17" s="159">
        <f t="shared" ca="1" si="0"/>
        <v>0</v>
      </c>
      <c r="G17" s="160" t="e">
        <f>IF(A17&lt;&gt;"",IF(AND(#REF!="Padrão",$H$4=#REF!),BDI!$B$17,IF(AND(#REF!="Padrão",$H$4=#REF!),BDI!$C$17,IF(AND(#REF!="Diferenciado",$H$4=#REF!),BDI!$G$17,IF(AND(#REF!="Diferenciado",$H$4=#REF!),BDI!$H$17,IF(#REF!="ZERO",0))))),"")</f>
        <v>#REF!</v>
      </c>
      <c r="H17" s="161" t="e">
        <f t="shared" ca="1" si="1"/>
        <v>#REF!</v>
      </c>
      <c r="I17" s="198" t="e">
        <f t="shared" ca="1" si="2"/>
        <v>#REF!</v>
      </c>
    </row>
    <row r="18" spans="1:9" x14ac:dyDescent="0.25">
      <c r="A18" s="204" t="s">
        <v>68</v>
      </c>
      <c r="B18" s="205" t="s">
        <v>2727</v>
      </c>
      <c r="C18" s="206" t="s">
        <v>184</v>
      </c>
      <c r="D18" s="206">
        <v>14</v>
      </c>
      <c r="E18" s="158">
        <f ca="1">OFFSET(INDEX(Composições!A:J,MATCH(Orçamentária!A18,Composições!A:A,0),10),2,0)</f>
        <v>0.33364285000000005</v>
      </c>
      <c r="F18" s="159">
        <f t="shared" ca="1" si="0"/>
        <v>4.6709999000000009</v>
      </c>
      <c r="G18" s="160">
        <f>BDI!$C$17</f>
        <v>0.24479999999999999</v>
      </c>
      <c r="H18" s="161">
        <f t="shared" ca="1" si="1"/>
        <v>0.42</v>
      </c>
      <c r="I18" s="202">
        <f t="shared" ca="1" si="2"/>
        <v>5.88</v>
      </c>
    </row>
    <row r="19" spans="1:9" hidden="1" x14ac:dyDescent="0.25">
      <c r="A19" s="102" t="s">
        <v>72</v>
      </c>
      <c r="B19" s="103" t="s">
        <v>2728</v>
      </c>
      <c r="C19" s="104" t="s">
        <v>228</v>
      </c>
      <c r="D19" s="104">
        <v>0</v>
      </c>
      <c r="E19" s="158">
        <f ca="1">OFFSET(INDEX(Composições!A:J,MATCH(Orçamentária!A19,Composições!A:A,0),10),2,0)</f>
        <v>190.51350729999999</v>
      </c>
      <c r="F19" s="159">
        <f t="shared" ca="1" si="0"/>
        <v>0</v>
      </c>
      <c r="G19" s="160" t="e">
        <f>IF(A19&lt;&gt;"",IF(AND(#REF!="Padrão",$H$4=#REF!),BDI!$B$17,IF(AND(#REF!="Padrão",$H$4=#REF!),BDI!$C$17,IF(AND(#REF!="Diferenciado",$H$4=#REF!),BDI!$G$17,IF(AND(#REF!="Diferenciado",$H$4=#REF!),BDI!$H$17,IF(#REF!="ZERO",0))))),"")</f>
        <v>#REF!</v>
      </c>
      <c r="H19" s="161" t="e">
        <f t="shared" ca="1" si="1"/>
        <v>#REF!</v>
      </c>
      <c r="I19" s="198" t="e">
        <f t="shared" ca="1" si="2"/>
        <v>#REF!</v>
      </c>
    </row>
    <row r="20" spans="1:9" x14ac:dyDescent="0.25">
      <c r="A20" s="204" t="s">
        <v>2729</v>
      </c>
      <c r="B20" s="205" t="s">
        <v>2730</v>
      </c>
      <c r="C20" s="206" t="s">
        <v>32</v>
      </c>
      <c r="D20" s="206">
        <v>10</v>
      </c>
      <c r="E20" s="194">
        <v>288.16000000000003</v>
      </c>
      <c r="F20" s="159">
        <f t="shared" si="0"/>
        <v>2881.6000000000004</v>
      </c>
      <c r="G20" s="160">
        <f>BDI!$H$17</f>
        <v>0.16719999999999999</v>
      </c>
      <c r="H20" s="161">
        <f t="shared" si="1"/>
        <v>336.34</v>
      </c>
      <c r="I20" s="202">
        <f t="shared" si="2"/>
        <v>3363.4</v>
      </c>
    </row>
    <row r="21" spans="1:9" hidden="1" x14ac:dyDescent="0.25">
      <c r="A21" s="102" t="s">
        <v>77</v>
      </c>
      <c r="B21" s="103" t="s">
        <v>2731</v>
      </c>
      <c r="C21" s="104" t="s">
        <v>189</v>
      </c>
      <c r="D21" s="104">
        <v>0</v>
      </c>
      <c r="E21" s="158">
        <f ca="1">OFFSET(INDEX(Composições!A:J,MATCH(Orçamentária!A21,Composições!A:A,0),10),2,0)</f>
        <v>11.680724999999999</v>
      </c>
      <c r="F21" s="159">
        <f t="shared" ca="1" si="0"/>
        <v>0</v>
      </c>
      <c r="G21" s="160" t="e">
        <f>IF(A21&lt;&gt;"",IF(AND(#REF!="Padrão",$H$4=#REF!),BDI!$B$17,IF(AND(#REF!="Padrão",$H$4=#REF!),BDI!$C$17,IF(AND(#REF!="Diferenciado",$H$4=#REF!),BDI!$G$17,IF(AND(#REF!="Diferenciado",$H$4=#REF!),BDI!$H$17,IF(#REF!="ZERO",0))))),"")</f>
        <v>#REF!</v>
      </c>
      <c r="H21" s="161" t="e">
        <f t="shared" ca="1" si="1"/>
        <v>#REF!</v>
      </c>
      <c r="I21" s="198" t="e">
        <f t="shared" ca="1" si="2"/>
        <v>#REF!</v>
      </c>
    </row>
    <row r="22" spans="1:9" x14ac:dyDescent="0.25">
      <c r="A22" s="204" t="s">
        <v>82</v>
      </c>
      <c r="B22" s="205" t="s">
        <v>2732</v>
      </c>
      <c r="C22" s="206" t="s">
        <v>189</v>
      </c>
      <c r="D22" s="206">
        <v>22.09</v>
      </c>
      <c r="E22" s="158">
        <f ca="1">OFFSET(INDEX(Composições!A:J,MATCH(Orçamentária!A22,Composições!A:A,0),10),2,0)</f>
        <v>17.197374999999997</v>
      </c>
      <c r="F22" s="159">
        <f t="shared" ca="1" si="0"/>
        <v>379.89001374999992</v>
      </c>
      <c r="G22" s="160">
        <f>BDI!$C$17</f>
        <v>0.24479999999999999</v>
      </c>
      <c r="H22" s="161">
        <f t="shared" ca="1" si="1"/>
        <v>21.41</v>
      </c>
      <c r="I22" s="202">
        <f t="shared" ca="1" si="2"/>
        <v>472.95</v>
      </c>
    </row>
    <row r="23" spans="1:9" hidden="1" x14ac:dyDescent="0.25">
      <c r="A23" s="102" t="s">
        <v>85</v>
      </c>
      <c r="B23" s="103" t="s">
        <v>2733</v>
      </c>
      <c r="C23" s="104" t="s">
        <v>32</v>
      </c>
      <c r="D23" s="104">
        <v>0</v>
      </c>
      <c r="E23" s="158">
        <f ca="1">OFFSET(INDEX(Composições!A:J,MATCH(Orçamentária!A23,Composições!A:A,0),10),2,0)</f>
        <v>6.4960999999999993</v>
      </c>
      <c r="F23" s="159">
        <f t="shared" ca="1" si="0"/>
        <v>0</v>
      </c>
      <c r="G23" s="160" t="e">
        <f>IF(A23&lt;&gt;"",IF(AND(#REF!="Padrão",$H$4=#REF!),BDI!$B$17,IF(AND(#REF!="Padrão",$H$4=#REF!),BDI!$C$17,IF(AND(#REF!="Diferenciado",$H$4=#REF!),BDI!$G$17,IF(AND(#REF!="Diferenciado",$H$4=#REF!),BDI!$H$17,IF(#REF!="ZERO",0))))),"")</f>
        <v>#REF!</v>
      </c>
      <c r="H23" s="161" t="e">
        <f t="shared" ca="1" si="1"/>
        <v>#REF!</v>
      </c>
      <c r="I23" s="159" t="e">
        <f t="shared" ca="1" si="2"/>
        <v>#REF!</v>
      </c>
    </row>
    <row r="24" spans="1:9" hidden="1" x14ac:dyDescent="0.25">
      <c r="A24" s="102" t="s">
        <v>87</v>
      </c>
      <c r="B24" s="103" t="s">
        <v>2734</v>
      </c>
      <c r="C24" s="104" t="s">
        <v>184</v>
      </c>
      <c r="D24" s="104">
        <v>0</v>
      </c>
      <c r="E24" s="158">
        <f ca="1">OFFSET(INDEX(Composições!A:J,MATCH(Orçamentária!A24,Composições!A:A,0),10),2,0)</f>
        <v>3.5974125000000003</v>
      </c>
      <c r="F24" s="159">
        <f t="shared" ca="1" si="0"/>
        <v>0</v>
      </c>
      <c r="G24" s="160" t="e">
        <f>IF(A24&lt;&gt;"",IF(AND(#REF!="Padrão",$H$4=#REF!),BDI!$B$17,IF(AND(#REF!="Padrão",$H$4=#REF!),BDI!$C$17,IF(AND(#REF!="Diferenciado",$H$4=#REF!),BDI!$G$17,IF(AND(#REF!="Diferenciado",$H$4=#REF!),BDI!$H$17,IF(#REF!="ZERO",0))))),"")</f>
        <v>#REF!</v>
      </c>
      <c r="H24" s="161" t="e">
        <f t="shared" ca="1" si="1"/>
        <v>#REF!</v>
      </c>
      <c r="I24" s="159" t="e">
        <f t="shared" ca="1" si="2"/>
        <v>#REF!</v>
      </c>
    </row>
    <row r="25" spans="1:9" hidden="1" x14ac:dyDescent="0.25">
      <c r="A25" s="102" t="s">
        <v>88</v>
      </c>
      <c r="B25" s="103" t="s">
        <v>2735</v>
      </c>
      <c r="C25" s="104" t="s">
        <v>189</v>
      </c>
      <c r="D25" s="104">
        <v>0</v>
      </c>
      <c r="E25" s="158">
        <f ca="1">OFFSET(INDEX(Composições!A:J,MATCH(Orçamentária!A25,Composições!A:A,0),10),2,0)</f>
        <v>1.6240249999999998</v>
      </c>
      <c r="F25" s="159">
        <f t="shared" ca="1" si="0"/>
        <v>0</v>
      </c>
      <c r="G25" s="160" t="e">
        <f>IF(A25&lt;&gt;"",IF(AND(#REF!="Padrão",$H$4=#REF!),BDI!$B$17,IF(AND(#REF!="Padrão",$H$4=#REF!),BDI!$C$17,IF(AND(#REF!="Diferenciado",$H$4=#REF!),BDI!$G$17,IF(AND(#REF!="Diferenciado",$H$4=#REF!),BDI!$H$17,IF(#REF!="ZERO",0))))),"")</f>
        <v>#REF!</v>
      </c>
      <c r="H25" s="161" t="e">
        <f t="shared" ca="1" si="1"/>
        <v>#REF!</v>
      </c>
      <c r="I25" s="159" t="e">
        <f t="shared" ca="1" si="2"/>
        <v>#REF!</v>
      </c>
    </row>
    <row r="26" spans="1:9" hidden="1" x14ac:dyDescent="0.25">
      <c r="A26" s="102" t="s">
        <v>91</v>
      </c>
      <c r="B26" s="103" t="s">
        <v>2736</v>
      </c>
      <c r="C26" s="104" t="s">
        <v>184</v>
      </c>
      <c r="D26" s="104">
        <v>0</v>
      </c>
      <c r="E26" s="158">
        <f ca="1">OFFSET(INDEX(Composições!A:J,MATCH(Orçamentária!A26,Composições!A:A,0),10),2,0)</f>
        <v>2.8141460499999997</v>
      </c>
      <c r="F26" s="159">
        <f t="shared" ca="1" si="0"/>
        <v>0</v>
      </c>
      <c r="G26" s="160" t="e">
        <f>IF(A26&lt;&gt;"",IF(AND(#REF!="Padrão",$H$4=#REF!),BDI!$B$17,IF(AND(#REF!="Padrão",$H$4=#REF!),BDI!$C$17,IF(AND(#REF!="Diferenciado",$H$4=#REF!),BDI!$G$17,IF(AND(#REF!="Diferenciado",$H$4=#REF!),BDI!$H$17,IF(#REF!="ZERO",0))))),"")</f>
        <v>#REF!</v>
      </c>
      <c r="H26" s="161" t="e">
        <f t="shared" ca="1" si="1"/>
        <v>#REF!</v>
      </c>
      <c r="I26" s="159" t="e">
        <f t="shared" ca="1" si="2"/>
        <v>#REF!</v>
      </c>
    </row>
    <row r="27" spans="1:9" hidden="1" x14ac:dyDescent="0.25">
      <c r="A27" s="102" t="s">
        <v>94</v>
      </c>
      <c r="B27" s="103" t="s">
        <v>2737</v>
      </c>
      <c r="C27" s="104" t="s">
        <v>32</v>
      </c>
      <c r="D27" s="104">
        <v>0</v>
      </c>
      <c r="E27" s="158">
        <f ca="1">OFFSET(INDEX(Composições!A:J,MATCH(Orçamentária!A27,Composições!A:A,0),10),2,0)</f>
        <v>17.761199999999995</v>
      </c>
      <c r="F27" s="159">
        <f t="shared" ca="1" si="0"/>
        <v>0</v>
      </c>
      <c r="G27" s="160" t="e">
        <f>IF(A27&lt;&gt;"",IF(AND(#REF!="Padrão",$H$4=#REF!),BDI!$B$17,IF(AND(#REF!="Padrão",$H$4=#REF!),BDI!$C$17,IF(AND(#REF!="Diferenciado",$H$4=#REF!),BDI!$G$17,IF(AND(#REF!="Diferenciado",$H$4=#REF!),BDI!$H$17,IF(#REF!="ZERO",0))))),"")</f>
        <v>#REF!</v>
      </c>
      <c r="H27" s="161" t="e">
        <f t="shared" ca="1" si="1"/>
        <v>#REF!</v>
      </c>
      <c r="I27" s="159" t="e">
        <f t="shared" ca="1" si="2"/>
        <v>#REF!</v>
      </c>
    </row>
    <row r="28" spans="1:9" hidden="1" x14ac:dyDescent="0.25">
      <c r="A28" s="102" t="s">
        <v>99</v>
      </c>
      <c r="B28" s="103" t="s">
        <v>2738</v>
      </c>
      <c r="C28" s="104" t="s">
        <v>189</v>
      </c>
      <c r="D28" s="104">
        <v>0</v>
      </c>
      <c r="E28" s="158">
        <f ca="1">OFFSET(INDEX(Composições!A:J,MATCH(Orçamentária!A28,Composições!A:A,0),10),2,0)</f>
        <v>26.846999999999998</v>
      </c>
      <c r="F28" s="159">
        <f t="shared" ca="1" si="0"/>
        <v>0</v>
      </c>
      <c r="G28" s="160" t="e">
        <f>IF(A28&lt;&gt;"",IF(AND(#REF!="Padrão",$H$4=#REF!),BDI!$B$17,IF(AND(#REF!="Padrão",$H$4=#REF!),BDI!$C$17,IF(AND(#REF!="Diferenciado",$H$4=#REF!),BDI!$G$17,IF(AND(#REF!="Diferenciado",$H$4=#REF!),BDI!$H$17,IF(#REF!="ZERO",0))))),"")</f>
        <v>#REF!</v>
      </c>
      <c r="H28" s="161" t="e">
        <f t="shared" ca="1" si="1"/>
        <v>#REF!</v>
      </c>
      <c r="I28" s="159" t="e">
        <f t="shared" ca="1" si="2"/>
        <v>#REF!</v>
      </c>
    </row>
    <row r="29" spans="1:9" hidden="1" x14ac:dyDescent="0.25">
      <c r="A29" s="102" t="s">
        <v>104</v>
      </c>
      <c r="B29" s="103" t="s">
        <v>2739</v>
      </c>
      <c r="C29" s="104" t="s">
        <v>189</v>
      </c>
      <c r="D29" s="104">
        <v>0</v>
      </c>
      <c r="E29" s="158">
        <f ca="1">OFFSET(INDEX(Composições!A:J,MATCH(Orçamentária!A29,Composições!A:A,0),10),2,0)</f>
        <v>22.856999999999999</v>
      </c>
      <c r="F29" s="159">
        <f t="shared" ca="1" si="0"/>
        <v>0</v>
      </c>
      <c r="G29" s="160" t="e">
        <f>IF(A29&lt;&gt;"",IF(AND(#REF!="Padrão",$H$4=#REF!),BDI!$B$17,IF(AND(#REF!="Padrão",$H$4=#REF!),BDI!$C$17,IF(AND(#REF!="Diferenciado",$H$4=#REF!),BDI!$G$17,IF(AND(#REF!="Diferenciado",$H$4=#REF!),BDI!$H$17,IF(#REF!="ZERO",0))))),"")</f>
        <v>#REF!</v>
      </c>
      <c r="H29" s="161" t="e">
        <f t="shared" ca="1" si="1"/>
        <v>#REF!</v>
      </c>
      <c r="I29" s="159" t="e">
        <f t="shared" ca="1" si="2"/>
        <v>#REF!</v>
      </c>
    </row>
    <row r="30" spans="1:9" hidden="1" x14ac:dyDescent="0.25">
      <c r="A30" s="102" t="s">
        <v>106</v>
      </c>
      <c r="B30" s="103" t="s">
        <v>2740</v>
      </c>
      <c r="C30" s="104" t="s">
        <v>184</v>
      </c>
      <c r="D30" s="104">
        <v>0</v>
      </c>
      <c r="E30" s="158">
        <f ca="1">OFFSET(INDEX(Composições!A:J,MATCH(Orçamentária!A30,Composições!A:A,0),10),2,0)</f>
        <v>7.5779125000000001</v>
      </c>
      <c r="F30" s="159">
        <f t="shared" ca="1" si="0"/>
        <v>0</v>
      </c>
      <c r="G30" s="160" t="e">
        <f>IF(A30&lt;&gt;"",IF(AND(#REF!="Padrão",$H$4=#REF!),BDI!$B$17,IF(AND(#REF!="Padrão",$H$4=#REF!),BDI!$C$17,IF(AND(#REF!="Diferenciado",$H$4=#REF!),BDI!$G$17,IF(AND(#REF!="Diferenciado",$H$4=#REF!),BDI!$H$17,IF(#REF!="ZERO",0))))),"")</f>
        <v>#REF!</v>
      </c>
      <c r="H30" s="161" t="e">
        <f t="shared" ca="1" si="1"/>
        <v>#REF!</v>
      </c>
      <c r="I30" s="198" t="e">
        <f t="shared" ca="1" si="2"/>
        <v>#REF!</v>
      </c>
    </row>
    <row r="31" spans="1:9" x14ac:dyDescent="0.25">
      <c r="A31" s="204" t="s">
        <v>109</v>
      </c>
      <c r="B31" s="205" t="s">
        <v>2741</v>
      </c>
      <c r="C31" s="206" t="s">
        <v>189</v>
      </c>
      <c r="D31" s="206">
        <v>1.83</v>
      </c>
      <c r="E31" s="158">
        <f ca="1">OFFSET(INDEX(Composições!A:J,MATCH(Orçamentária!A31,Composições!A:A,0),10),2,0)</f>
        <v>8.1201249999999998</v>
      </c>
      <c r="F31" s="159">
        <f t="shared" ca="1" si="0"/>
        <v>14.85982875</v>
      </c>
      <c r="G31" s="160">
        <f>BDI!$C$17</f>
        <v>0.24479999999999999</v>
      </c>
      <c r="H31" s="161">
        <f t="shared" ca="1" si="1"/>
        <v>10.11</v>
      </c>
      <c r="I31" s="202">
        <f t="shared" ca="1" si="2"/>
        <v>18.5</v>
      </c>
    </row>
    <row r="32" spans="1:9" hidden="1" x14ac:dyDescent="0.25">
      <c r="A32" s="102" t="s">
        <v>112</v>
      </c>
      <c r="B32" s="103" t="s">
        <v>2742</v>
      </c>
      <c r="C32" s="104" t="s">
        <v>32</v>
      </c>
      <c r="D32" s="104">
        <v>0</v>
      </c>
      <c r="E32" s="158">
        <f ca="1">OFFSET(INDEX(Composições!A:J,MATCH(Orçamentária!A32,Composições!A:A,0),10),2,0)</f>
        <v>5.7940499999999995</v>
      </c>
      <c r="F32" s="159">
        <f t="shared" ca="1" si="0"/>
        <v>0</v>
      </c>
      <c r="G32" s="160" t="e">
        <f>IF(A32&lt;&gt;"",IF(AND(#REF!="Padrão",$H$4=#REF!),BDI!$B$17,IF(AND(#REF!="Padrão",$H$4=#REF!),BDI!$C$17,IF(AND(#REF!="Diferenciado",$H$4=#REF!),BDI!$G$17,IF(AND(#REF!="Diferenciado",$H$4=#REF!),BDI!$H$17,IF(#REF!="ZERO",0))))),"")</f>
        <v>#REF!</v>
      </c>
      <c r="H32" s="161" t="e">
        <f t="shared" ca="1" si="1"/>
        <v>#REF!</v>
      </c>
      <c r="I32" s="198" t="e">
        <f t="shared" ca="1" si="2"/>
        <v>#REF!</v>
      </c>
    </row>
    <row r="33" spans="1:9" x14ac:dyDescent="0.25">
      <c r="A33" s="204" t="s">
        <v>115</v>
      </c>
      <c r="B33" s="205" t="s">
        <v>2743</v>
      </c>
      <c r="C33" s="206" t="s">
        <v>32</v>
      </c>
      <c r="D33" s="206">
        <v>3</v>
      </c>
      <c r="E33" s="158">
        <f ca="1">OFFSET(INDEX(Composições!A:J,MATCH(Orçamentária!A33,Composições!A:A,0),10),2,0)</f>
        <v>4.7618749999999999</v>
      </c>
      <c r="F33" s="159">
        <f t="shared" ca="1" si="0"/>
        <v>14.285625</v>
      </c>
      <c r="G33" s="160">
        <f>BDI!$C$17</f>
        <v>0.24479999999999999</v>
      </c>
      <c r="H33" s="161">
        <f t="shared" ca="1" si="1"/>
        <v>5.93</v>
      </c>
      <c r="I33" s="202">
        <f t="shared" ca="1" si="2"/>
        <v>17.79</v>
      </c>
    </row>
    <row r="34" spans="1:9" x14ac:dyDescent="0.25">
      <c r="A34" s="204" t="s">
        <v>118</v>
      </c>
      <c r="B34" s="205" t="s">
        <v>2744</v>
      </c>
      <c r="C34" s="206" t="s">
        <v>32</v>
      </c>
      <c r="D34" s="206">
        <v>3</v>
      </c>
      <c r="E34" s="158">
        <f ca="1">OFFSET(INDEX(Composições!A:J,MATCH(Orçamentária!A34,Composições!A:A,0),10),2,0)</f>
        <v>6.216211949999999</v>
      </c>
      <c r="F34" s="159">
        <f t="shared" ca="1" si="0"/>
        <v>18.648635849999998</v>
      </c>
      <c r="G34" s="160">
        <f>BDI!$C$17</f>
        <v>0.24479999999999999</v>
      </c>
      <c r="H34" s="161">
        <f t="shared" ca="1" si="1"/>
        <v>7.74</v>
      </c>
      <c r="I34" s="199">
        <f t="shared" ca="1" si="2"/>
        <v>23.22</v>
      </c>
    </row>
    <row r="35" spans="1:9" hidden="1" x14ac:dyDescent="0.25">
      <c r="A35" s="102" t="s">
        <v>120</v>
      </c>
      <c r="B35" s="103" t="s">
        <v>2745</v>
      </c>
      <c r="C35" s="104" t="s">
        <v>189</v>
      </c>
      <c r="D35" s="104">
        <v>0</v>
      </c>
      <c r="E35" s="158">
        <f ca="1">OFFSET(INDEX(Composições!A:J,MATCH(Orçamentária!A35,Composições!A:A,0),10),2,0)</f>
        <v>14.616225</v>
      </c>
      <c r="F35" s="159">
        <f t="shared" ca="1" si="0"/>
        <v>0</v>
      </c>
      <c r="G35" s="160" t="e">
        <f>IF(A35&lt;&gt;"",IF(AND(#REF!="Padrão",$H$4=#REF!),BDI!$B$17,IF(AND(#REF!="Padrão",$H$4=#REF!),BDI!$C$17,IF(AND(#REF!="Diferenciado",$H$4=#REF!),BDI!$G$17,IF(AND(#REF!="Diferenciado",$H$4=#REF!),BDI!$H$17,IF(#REF!="ZERO",0))))),"")</f>
        <v>#REF!</v>
      </c>
      <c r="H35" s="161" t="e">
        <f t="shared" ca="1" si="1"/>
        <v>#REF!</v>
      </c>
      <c r="I35" s="198" t="e">
        <f t="shared" ca="1" si="2"/>
        <v>#REF!</v>
      </c>
    </row>
    <row r="36" spans="1:9" x14ac:dyDescent="0.25">
      <c r="A36" s="204" t="s">
        <v>123</v>
      </c>
      <c r="B36" s="205" t="s">
        <v>2746</v>
      </c>
      <c r="C36" s="206" t="s">
        <v>32</v>
      </c>
      <c r="D36" s="206">
        <v>1</v>
      </c>
      <c r="E36" s="158">
        <f ca="1">OFFSET(INDEX(Composições!A:J,MATCH(Orçamentária!A36,Composições!A:A,0),10),2,0)</f>
        <v>8.2290890499999989</v>
      </c>
      <c r="F36" s="159">
        <f t="shared" ca="1" si="0"/>
        <v>8.2290890499999989</v>
      </c>
      <c r="G36" s="160">
        <f>BDI!$C$17</f>
        <v>0.24479999999999999</v>
      </c>
      <c r="H36" s="161">
        <f t="shared" ca="1" si="1"/>
        <v>10.24</v>
      </c>
      <c r="I36" s="202">
        <f t="shared" ca="1" si="2"/>
        <v>10.24</v>
      </c>
    </row>
    <row r="37" spans="1:9" x14ac:dyDescent="0.25">
      <c r="A37" s="204" t="s">
        <v>125</v>
      </c>
      <c r="B37" s="205" t="s">
        <v>2747</v>
      </c>
      <c r="C37" s="206" t="s">
        <v>32</v>
      </c>
      <c r="D37" s="206">
        <v>17</v>
      </c>
      <c r="E37" s="158">
        <f ca="1">OFFSET(INDEX(Composições!A:J,MATCH(Orçamentária!A37,Composições!A:A,0),10),2,0)</f>
        <v>4.338702249999999</v>
      </c>
      <c r="F37" s="159">
        <f t="shared" ca="1" si="0"/>
        <v>73.757938249999981</v>
      </c>
      <c r="G37" s="160">
        <f>BDI!$C$17</f>
        <v>0.24479999999999999</v>
      </c>
      <c r="H37" s="161">
        <f t="shared" ca="1" si="1"/>
        <v>5.4</v>
      </c>
      <c r="I37" s="199">
        <f t="shared" ca="1" si="2"/>
        <v>91.8</v>
      </c>
    </row>
    <row r="38" spans="1:9" x14ac:dyDescent="0.25">
      <c r="A38" s="204" t="s">
        <v>128</v>
      </c>
      <c r="B38" s="205" t="s">
        <v>2748</v>
      </c>
      <c r="C38" s="206" t="s">
        <v>32</v>
      </c>
      <c r="D38" s="206">
        <v>8</v>
      </c>
      <c r="E38" s="158">
        <f ca="1">OFFSET(INDEX(Composições!A:J,MATCH(Orçamentária!A38,Composições!A:A,0),10),2,0)</f>
        <v>6.0007243999999993</v>
      </c>
      <c r="F38" s="159">
        <f t="shared" ca="1" si="0"/>
        <v>48.005795199999994</v>
      </c>
      <c r="G38" s="160">
        <f>BDI!$C$17</f>
        <v>0.24479999999999999</v>
      </c>
      <c r="H38" s="161">
        <f t="shared" ca="1" si="1"/>
        <v>7.47</v>
      </c>
      <c r="I38" s="199">
        <f t="shared" ca="1" si="2"/>
        <v>59.76</v>
      </c>
    </row>
    <row r="39" spans="1:9" hidden="1" x14ac:dyDescent="0.25">
      <c r="A39" s="102" t="s">
        <v>130</v>
      </c>
      <c r="B39" s="103" t="s">
        <v>2749</v>
      </c>
      <c r="C39" s="104" t="s">
        <v>189</v>
      </c>
      <c r="D39" s="104">
        <v>0</v>
      </c>
      <c r="E39" s="158">
        <f ca="1">OFFSET(INDEX(Composições!A:J,MATCH(Orçamentária!A39,Composições!A:A,0),10),2,0)</f>
        <v>11.713974999999998</v>
      </c>
      <c r="F39" s="159">
        <f t="shared" ca="1" si="0"/>
        <v>0</v>
      </c>
      <c r="G39" s="160" t="e">
        <f>IF(A39&lt;&gt;"",IF(AND(#REF!="Padrão",$H$4=#REF!),BDI!$B$17,IF(AND(#REF!="Padrão",$H$4=#REF!),BDI!$C$17,IF(AND(#REF!="Diferenciado",$H$4=#REF!),BDI!$G$17,IF(AND(#REF!="Diferenciado",$H$4=#REF!),BDI!$H$17,IF(#REF!="ZERO",0))))),"")</f>
        <v>#REF!</v>
      </c>
      <c r="H39" s="161" t="e">
        <f t="shared" ca="1" si="1"/>
        <v>#REF!</v>
      </c>
      <c r="I39" s="159" t="e">
        <f t="shared" ca="1" si="2"/>
        <v>#REF!</v>
      </c>
    </row>
    <row r="40" spans="1:9" hidden="1" x14ac:dyDescent="0.25">
      <c r="A40" s="102" t="s">
        <v>133</v>
      </c>
      <c r="B40" s="103" t="s">
        <v>2750</v>
      </c>
      <c r="C40" s="104" t="s">
        <v>189</v>
      </c>
      <c r="D40" s="104">
        <v>0</v>
      </c>
      <c r="E40" s="158">
        <f ca="1">OFFSET(INDEX(Composições!A:J,MATCH(Orçamentária!A40,Composições!A:A,0),10),2,0)</f>
        <v>7.1401999999999992</v>
      </c>
      <c r="F40" s="159">
        <f t="shared" ca="1" si="0"/>
        <v>0</v>
      </c>
      <c r="G40" s="160" t="e">
        <f>IF(A40&lt;&gt;"",IF(AND(#REF!="Padrão",$H$4=#REF!),BDI!$B$17,IF(AND(#REF!="Padrão",$H$4=#REF!),BDI!$C$17,IF(AND(#REF!="Diferenciado",$H$4=#REF!),BDI!$G$17,IF(AND(#REF!="Diferenciado",$H$4=#REF!),BDI!$H$17,IF(#REF!="ZERO",0))))),"")</f>
        <v>#REF!</v>
      </c>
      <c r="H40" s="161" t="e">
        <f t="shared" ca="1" si="1"/>
        <v>#REF!</v>
      </c>
      <c r="I40" s="159" t="e">
        <f t="shared" ca="1" si="2"/>
        <v>#REF!</v>
      </c>
    </row>
    <row r="41" spans="1:9" hidden="1" x14ac:dyDescent="0.25">
      <c r="A41" s="102" t="s">
        <v>136</v>
      </c>
      <c r="B41" s="103" t="s">
        <v>2751</v>
      </c>
      <c r="C41" s="104" t="s">
        <v>184</v>
      </c>
      <c r="D41" s="104">
        <v>0</v>
      </c>
      <c r="E41" s="158">
        <f ca="1">OFFSET(INDEX(Composições!A:J,MATCH(Orçamentária!A41,Composições!A:A,0),10),2,0)</f>
        <v>2.8141460499999997</v>
      </c>
      <c r="F41" s="159">
        <f t="shared" ca="1" si="0"/>
        <v>0</v>
      </c>
      <c r="G41" s="160" t="e">
        <f>IF(A41&lt;&gt;"",IF(AND(#REF!="Padrão",$H$4=#REF!),BDI!$B$17,IF(AND(#REF!="Padrão",$H$4=#REF!),BDI!$C$17,IF(AND(#REF!="Diferenciado",$H$4=#REF!),BDI!$G$17,IF(AND(#REF!="Diferenciado",$H$4=#REF!),BDI!$H$17,IF(#REF!="ZERO",0))))),"")</f>
        <v>#REF!</v>
      </c>
      <c r="H41" s="161" t="e">
        <f t="shared" ca="1" si="1"/>
        <v>#REF!</v>
      </c>
      <c r="I41" s="159" t="e">
        <f t="shared" ca="1" si="2"/>
        <v>#REF!</v>
      </c>
    </row>
    <row r="42" spans="1:9" hidden="1" x14ac:dyDescent="0.25">
      <c r="A42" s="102" t="s">
        <v>137</v>
      </c>
      <c r="B42" s="103" t="s">
        <v>2752</v>
      </c>
      <c r="C42" s="104" t="s">
        <v>189</v>
      </c>
      <c r="D42" s="104">
        <v>0</v>
      </c>
      <c r="E42" s="158">
        <f ca="1">OFFSET(INDEX(Composições!A:J,MATCH(Orçamentária!A42,Composições!A:A,0),10),2,0)</f>
        <v>5.7303999999999995</v>
      </c>
      <c r="F42" s="159">
        <f t="shared" ca="1" si="0"/>
        <v>0</v>
      </c>
      <c r="G42" s="160" t="e">
        <f>IF(A42&lt;&gt;"",IF(AND(#REF!="Padrão",$H$4=#REF!),BDI!$B$17,IF(AND(#REF!="Padrão",$H$4=#REF!),BDI!$C$17,IF(AND(#REF!="Diferenciado",$H$4=#REF!),BDI!$G$17,IF(AND(#REF!="Diferenciado",$H$4=#REF!),BDI!$H$17,IF(#REF!="ZERO",0))))),"")</f>
        <v>#REF!</v>
      </c>
      <c r="H42" s="161" t="e">
        <f t="shared" ca="1" si="1"/>
        <v>#REF!</v>
      </c>
      <c r="I42" s="159" t="e">
        <f t="shared" ca="1" si="2"/>
        <v>#REF!</v>
      </c>
    </row>
    <row r="43" spans="1:9" hidden="1" x14ac:dyDescent="0.25">
      <c r="A43" s="102" t="s">
        <v>140</v>
      </c>
      <c r="B43" s="103" t="s">
        <v>2753</v>
      </c>
      <c r="C43" s="104" t="s">
        <v>189</v>
      </c>
      <c r="D43" s="104">
        <v>0</v>
      </c>
      <c r="E43" s="158">
        <f ca="1">OFFSET(INDEX(Composições!A:J,MATCH(Orçamentária!A43,Composições!A:A,0),10),2,0)</f>
        <v>3.3179642999999999</v>
      </c>
      <c r="F43" s="159">
        <f t="shared" ca="1" si="0"/>
        <v>0</v>
      </c>
      <c r="G43" s="160" t="e">
        <f>IF(A43&lt;&gt;"",IF(AND(#REF!="Padrão",$H$4=#REF!),BDI!$B$17,IF(AND(#REF!="Padrão",$H$4=#REF!),BDI!$C$17,IF(AND(#REF!="Diferenciado",$H$4=#REF!),BDI!$G$17,IF(AND(#REF!="Diferenciado",$H$4=#REF!),BDI!$H$17,IF(#REF!="ZERO",0))))),"")</f>
        <v>#REF!</v>
      </c>
      <c r="H43" s="161" t="e">
        <f t="shared" ca="1" si="1"/>
        <v>#REF!</v>
      </c>
      <c r="I43" s="198" t="e">
        <f t="shared" ca="1" si="2"/>
        <v>#REF!</v>
      </c>
    </row>
    <row r="44" spans="1:9" x14ac:dyDescent="0.25">
      <c r="A44" s="204" t="s">
        <v>143</v>
      </c>
      <c r="B44" s="205" t="s">
        <v>2754</v>
      </c>
      <c r="C44" s="206" t="s">
        <v>32</v>
      </c>
      <c r="D44" s="206">
        <v>1</v>
      </c>
      <c r="E44" s="158">
        <f ca="1">OFFSET(INDEX(Composições!A:J,MATCH(Orçamentária!A44,Composições!A:A,0),10),2,0)</f>
        <v>50.734749999999998</v>
      </c>
      <c r="F44" s="159">
        <f t="shared" ca="1" si="0"/>
        <v>50.734749999999998</v>
      </c>
      <c r="G44" s="160">
        <f>BDI!$C$17</f>
        <v>0.24479999999999999</v>
      </c>
      <c r="H44" s="161">
        <f t="shared" ca="1" si="1"/>
        <v>63.15</v>
      </c>
      <c r="I44" s="202">
        <f t="shared" ca="1" si="2"/>
        <v>63.15</v>
      </c>
    </row>
    <row r="45" spans="1:9" hidden="1" x14ac:dyDescent="0.25">
      <c r="A45" s="102" t="s">
        <v>147</v>
      </c>
      <c r="B45" s="103" t="s">
        <v>2755</v>
      </c>
      <c r="C45" s="104" t="s">
        <v>189</v>
      </c>
      <c r="D45" s="104">
        <v>0</v>
      </c>
      <c r="E45" s="158">
        <f ca="1">OFFSET(INDEX(Composições!A:J,MATCH(Orçamentária!A45,Composições!A:A,0),10),2,0)</f>
        <v>2.8651999999999997</v>
      </c>
      <c r="F45" s="159">
        <f t="shared" ca="1" si="0"/>
        <v>0</v>
      </c>
      <c r="G45" s="160" t="e">
        <f>IF(A45&lt;&gt;"",IF(AND(#REF!="Padrão",$H$4=#REF!),BDI!$B$17,IF(AND(#REF!="Padrão",$H$4=#REF!),BDI!$C$17,IF(AND(#REF!="Diferenciado",$H$4=#REF!),BDI!$G$17,IF(AND(#REF!="Diferenciado",$H$4=#REF!),BDI!$H$17,IF(#REF!="ZERO",0))))),"")</f>
        <v>#REF!</v>
      </c>
      <c r="H45" s="161" t="e">
        <f t="shared" ca="1" si="1"/>
        <v>#REF!</v>
      </c>
      <c r="I45" s="159" t="e">
        <f t="shared" ca="1" si="2"/>
        <v>#REF!</v>
      </c>
    </row>
    <row r="46" spans="1:9" hidden="1" x14ac:dyDescent="0.25">
      <c r="A46" s="102" t="s">
        <v>148</v>
      </c>
      <c r="B46" s="103" t="s">
        <v>2756</v>
      </c>
      <c r="C46" s="104" t="s">
        <v>184</v>
      </c>
      <c r="D46" s="104">
        <v>0</v>
      </c>
      <c r="E46" s="158">
        <f ca="1">OFFSET(INDEX(Composições!A:J,MATCH(Orçamentária!A46,Composições!A:A,0),10),2,0)</f>
        <v>1.2520924</v>
      </c>
      <c r="F46" s="159">
        <f t="shared" ca="1" si="0"/>
        <v>0</v>
      </c>
      <c r="G46" s="160" t="e">
        <f>IF(A46&lt;&gt;"",IF(AND(#REF!="Padrão",$H$4=#REF!),BDI!$B$17,IF(AND(#REF!="Padrão",$H$4=#REF!),BDI!$C$17,IF(AND(#REF!="Diferenciado",$H$4=#REF!),BDI!$G$17,IF(AND(#REF!="Diferenciado",$H$4=#REF!),BDI!$H$17,IF(#REF!="ZERO",0))))),"")</f>
        <v>#REF!</v>
      </c>
      <c r="H46" s="161" t="e">
        <f t="shared" ca="1" si="1"/>
        <v>#REF!</v>
      </c>
      <c r="I46" s="159" t="e">
        <f t="shared" ca="1" si="2"/>
        <v>#REF!</v>
      </c>
    </row>
    <row r="47" spans="1:9" hidden="1" x14ac:dyDescent="0.25">
      <c r="A47" s="102" t="s">
        <v>151</v>
      </c>
      <c r="B47" s="103" t="s">
        <v>2757</v>
      </c>
      <c r="C47" s="104" t="s">
        <v>189</v>
      </c>
      <c r="D47" s="104">
        <v>0</v>
      </c>
      <c r="E47" s="158">
        <f ca="1">OFFSET(INDEX(Composições!A:J,MATCH(Orçamentária!A47,Composições!A:A,0),10),2,0)</f>
        <v>5.1128999999999998</v>
      </c>
      <c r="F47" s="159">
        <f t="shared" ca="1" si="0"/>
        <v>0</v>
      </c>
      <c r="G47" s="160" t="e">
        <f>IF(A47&lt;&gt;"",IF(AND(#REF!="Padrão",$H$4=#REF!),BDI!$B$17,IF(AND(#REF!="Padrão",$H$4=#REF!),BDI!$C$17,IF(AND(#REF!="Diferenciado",$H$4=#REF!),BDI!$G$17,IF(AND(#REF!="Diferenciado",$H$4=#REF!),BDI!$H$17,IF(#REF!="ZERO",0))))),"")</f>
        <v>#REF!</v>
      </c>
      <c r="H47" s="161" t="e">
        <f t="shared" ca="1" si="1"/>
        <v>#REF!</v>
      </c>
      <c r="I47" s="198" t="e">
        <f t="shared" ca="1" si="2"/>
        <v>#REF!</v>
      </c>
    </row>
    <row r="48" spans="1:9" x14ac:dyDescent="0.25">
      <c r="A48" s="204" t="s">
        <v>156</v>
      </c>
      <c r="B48" s="205" t="s">
        <v>2758</v>
      </c>
      <c r="C48" s="206" t="s">
        <v>184</v>
      </c>
      <c r="D48" s="206">
        <v>0.97</v>
      </c>
      <c r="E48" s="158">
        <f ca="1">OFFSET(INDEX(Composições!A:J,MATCH(Orçamentária!A48,Composições!A:A,0),10),2,0)</f>
        <v>7.8792999999999997</v>
      </c>
      <c r="F48" s="159">
        <f t="shared" ca="1" si="0"/>
        <v>7.6429209999999994</v>
      </c>
      <c r="G48" s="160">
        <f>BDI!$C$17</f>
        <v>0.24479999999999999</v>
      </c>
      <c r="H48" s="161">
        <f t="shared" ca="1" si="1"/>
        <v>9.81</v>
      </c>
      <c r="I48" s="202">
        <f t="shared" ca="1" si="2"/>
        <v>9.52</v>
      </c>
    </row>
    <row r="49" spans="1:9" hidden="1" x14ac:dyDescent="0.25">
      <c r="A49" s="102" t="s">
        <v>159</v>
      </c>
      <c r="B49" s="103" t="s">
        <v>2759</v>
      </c>
      <c r="C49" s="104" t="s">
        <v>32</v>
      </c>
      <c r="D49" s="104">
        <v>0</v>
      </c>
      <c r="E49" s="158">
        <f ca="1">OFFSET(INDEX(Composições!A:J,MATCH(Orçamentária!A49,Composições!A:A,0),10),2,0)</f>
        <v>35.2545</v>
      </c>
      <c r="F49" s="159">
        <f t="shared" ca="1" si="0"/>
        <v>0</v>
      </c>
      <c r="G49" s="160" t="e">
        <f>IF(A49&lt;&gt;"",IF(AND(#REF!="Padrão",$H$4=#REF!),BDI!$B$17,IF(AND(#REF!="Padrão",$H$4=#REF!),BDI!$C$17,IF(AND(#REF!="Diferenciado",$H$4=#REF!),BDI!$G$17,IF(AND(#REF!="Diferenciado",$H$4=#REF!),BDI!$H$17,IF(#REF!="ZERO",0))))),"")</f>
        <v>#REF!</v>
      </c>
      <c r="H49" s="161" t="e">
        <f t="shared" ca="1" si="1"/>
        <v>#REF!</v>
      </c>
      <c r="I49" s="198" t="e">
        <f t="shared" ca="1" si="2"/>
        <v>#REF!</v>
      </c>
    </row>
    <row r="50" spans="1:9" x14ac:dyDescent="0.25">
      <c r="A50" s="204" t="s">
        <v>162</v>
      </c>
      <c r="B50" s="205" t="s">
        <v>2760</v>
      </c>
      <c r="C50" s="206" t="s">
        <v>189</v>
      </c>
      <c r="D50" s="206">
        <v>0.8</v>
      </c>
      <c r="E50" s="158">
        <f ca="1">OFFSET(INDEX(Composições!A:J,MATCH(Orçamentária!A50,Composições!A:A,0),10),2,0)</f>
        <v>11.790449999999998</v>
      </c>
      <c r="F50" s="159">
        <f t="shared" ca="1" si="0"/>
        <v>9.4323599999999992</v>
      </c>
      <c r="G50" s="160">
        <f>BDI!$C$17</f>
        <v>0.24479999999999999</v>
      </c>
      <c r="H50" s="161">
        <f t="shared" ca="1" si="1"/>
        <v>14.68</v>
      </c>
      <c r="I50" s="202">
        <f t="shared" ca="1" si="2"/>
        <v>11.74</v>
      </c>
    </row>
    <row r="51" spans="1:9" x14ac:dyDescent="0.25">
      <c r="A51" s="204" t="s">
        <v>164</v>
      </c>
      <c r="B51" s="205" t="s">
        <v>2761</v>
      </c>
      <c r="C51" s="206" t="s">
        <v>228</v>
      </c>
      <c r="D51" s="206">
        <v>35.299999999999997</v>
      </c>
      <c r="E51" s="158">
        <f ca="1">OFFSET(INDEX(Composições!A:J,MATCH(Orçamentária!A51,Composições!A:A,0),10),2,0)</f>
        <v>14.325999999999999</v>
      </c>
      <c r="F51" s="159">
        <f t="shared" ca="1" si="0"/>
        <v>505.70779999999991</v>
      </c>
      <c r="G51" s="160">
        <f>BDI!$C$17</f>
        <v>0.24479999999999999</v>
      </c>
      <c r="H51" s="161">
        <f t="shared" ca="1" si="1"/>
        <v>17.829999999999998</v>
      </c>
      <c r="I51" s="199">
        <f t="shared" ca="1" si="2"/>
        <v>629.4</v>
      </c>
    </row>
    <row r="52" spans="1:9" hidden="1" x14ac:dyDescent="0.25">
      <c r="A52" s="102" t="s">
        <v>2762</v>
      </c>
      <c r="B52" s="103" t="s">
        <v>2763</v>
      </c>
      <c r="C52" s="104" t="s">
        <v>32</v>
      </c>
      <c r="D52" s="104">
        <v>0</v>
      </c>
      <c r="E52" s="158">
        <v>425.5</v>
      </c>
      <c r="F52" s="159">
        <f t="shared" si="0"/>
        <v>0</v>
      </c>
      <c r="G52" s="160" t="e">
        <f>IF(A52&lt;&gt;"",IF(AND(#REF!="Padrão",$H$4=#REF!),BDI!$B$17,IF(AND(#REF!="Padrão",$H$4=#REF!),BDI!$C$17,IF(AND(#REF!="Diferenciado",$H$4=#REF!),BDI!$G$17,IF(AND(#REF!="Diferenciado",$H$4=#REF!),BDI!$H$17,IF(#REF!="ZERO",0))))),"")</f>
        <v>#REF!</v>
      </c>
      <c r="H52" s="161" t="e">
        <f t="shared" si="1"/>
        <v>#REF!</v>
      </c>
      <c r="I52" s="159" t="e">
        <f t="shared" si="2"/>
        <v>#REF!</v>
      </c>
    </row>
    <row r="53" spans="1:9" hidden="1" x14ac:dyDescent="0.25">
      <c r="A53" s="102" t="s">
        <v>167</v>
      </c>
      <c r="B53" s="103" t="s">
        <v>2764</v>
      </c>
      <c r="C53" s="104" t="s">
        <v>2765</v>
      </c>
      <c r="D53" s="104">
        <v>0</v>
      </c>
      <c r="E53" s="158">
        <f ca="1">OFFSET(INDEX(Composições!A:J,MATCH(Orçamentária!A53,Composições!A:A,0),10),2,0)</f>
        <v>3.7905000000000002</v>
      </c>
      <c r="F53" s="159">
        <f t="shared" ca="1" si="0"/>
        <v>0</v>
      </c>
      <c r="G53" s="160" t="e">
        <f>IF(A53&lt;&gt;"",IF(AND(#REF!="Padrão",$H$4=#REF!),BDI!$B$17,IF(AND(#REF!="Padrão",$H$4=#REF!),BDI!$C$17,IF(AND(#REF!="Diferenciado",$H$4=#REF!),BDI!$G$17,IF(AND(#REF!="Diferenciado",$H$4=#REF!),BDI!$H$17,IF(#REF!="ZERO",0))))),"")</f>
        <v>#REF!</v>
      </c>
      <c r="H53" s="161" t="e">
        <f t="shared" ca="1" si="1"/>
        <v>#REF!</v>
      </c>
      <c r="I53" s="198" t="e">
        <f t="shared" ca="1" si="2"/>
        <v>#REF!</v>
      </c>
    </row>
    <row r="54" spans="1:9" x14ac:dyDescent="0.25">
      <c r="A54" s="204" t="s">
        <v>171</v>
      </c>
      <c r="B54" s="205" t="s">
        <v>2766</v>
      </c>
      <c r="C54" s="206" t="s">
        <v>2767</v>
      </c>
      <c r="D54" s="206">
        <v>84</v>
      </c>
      <c r="E54" s="158">
        <f ca="1">OFFSET(INDEX(Composições!A:J,MATCH(Orçamentária!A54,Composições!A:A,0),10),2,0)</f>
        <v>11.399999999999999</v>
      </c>
      <c r="F54" s="159">
        <f t="shared" ca="1" si="0"/>
        <v>957.59999999999991</v>
      </c>
      <c r="G54" s="160">
        <f>BDI!$C$17</f>
        <v>0.24479999999999999</v>
      </c>
      <c r="H54" s="161">
        <f t="shared" ca="1" si="1"/>
        <v>14.19</v>
      </c>
      <c r="I54" s="202">
        <f t="shared" ca="1" si="2"/>
        <v>1191.96</v>
      </c>
    </row>
    <row r="55" spans="1:9" hidden="1" x14ac:dyDescent="0.25">
      <c r="A55" s="102" t="s">
        <v>2768</v>
      </c>
      <c r="B55" s="103" t="s">
        <v>2769</v>
      </c>
      <c r="C55" s="104" t="s">
        <v>184</v>
      </c>
      <c r="D55" s="104">
        <v>0</v>
      </c>
      <c r="E55" s="158" t="s">
        <v>1079</v>
      </c>
      <c r="F55" s="159" t="str">
        <f t="shared" si="0"/>
        <v/>
      </c>
      <c r="G55" s="160" t="e">
        <f>IF(A55&lt;&gt;"",IF(AND(#REF!="Padrão",$H$4=#REF!),BDI!$B$17,IF(AND(#REF!="Padrão",$H$4=#REF!),BDI!$C$17,IF(AND(#REF!="Diferenciado",$H$4=#REF!),BDI!$G$17,IF(AND(#REF!="Diferenciado",$H$4=#REF!),BDI!$H$17,IF(#REF!="ZERO",0))))),"")</f>
        <v>#REF!</v>
      </c>
      <c r="H55" s="161" t="str">
        <f t="shared" si="1"/>
        <v/>
      </c>
      <c r="I55" s="159" t="str">
        <f t="shared" si="2"/>
        <v/>
      </c>
    </row>
    <row r="56" spans="1:9" hidden="1" x14ac:dyDescent="0.25">
      <c r="A56" s="102" t="s">
        <v>175</v>
      </c>
      <c r="B56" s="103" t="s">
        <v>2770</v>
      </c>
      <c r="C56" s="104" t="s">
        <v>184</v>
      </c>
      <c r="D56" s="104">
        <v>0</v>
      </c>
      <c r="E56" s="158">
        <f ca="1">OFFSET(INDEX(Composições!A:J,MATCH(Orçamentária!A56,Composições!A:A,0),10),2,0)</f>
        <v>4.4197800000000003</v>
      </c>
      <c r="F56" s="159">
        <f t="shared" ca="1" si="0"/>
        <v>0</v>
      </c>
      <c r="G56" s="160" t="e">
        <f>IF(A56&lt;&gt;"",IF(AND(#REF!="Padrão",$H$4=#REF!),BDI!$B$17,IF(AND(#REF!="Padrão",$H$4=#REF!),BDI!$C$17,IF(AND(#REF!="Diferenciado",$H$4=#REF!),BDI!$G$17,IF(AND(#REF!="Diferenciado",$H$4=#REF!),BDI!$H$17,IF(#REF!="ZERO",0))))),"")</f>
        <v>#REF!</v>
      </c>
      <c r="H56" s="161" t="e">
        <f t="shared" ca="1" si="1"/>
        <v>#REF!</v>
      </c>
      <c r="I56" s="159" t="e">
        <f t="shared" ca="1" si="2"/>
        <v>#REF!</v>
      </c>
    </row>
    <row r="57" spans="1:9" hidden="1" x14ac:dyDescent="0.25">
      <c r="A57" s="102" t="s">
        <v>2771</v>
      </c>
      <c r="B57" s="103" t="s">
        <v>2772</v>
      </c>
      <c r="C57" s="104" t="s">
        <v>32</v>
      </c>
      <c r="D57" s="104">
        <v>0</v>
      </c>
      <c r="E57" s="158" t="s">
        <v>1079</v>
      </c>
      <c r="F57" s="159" t="str">
        <f t="shared" si="0"/>
        <v/>
      </c>
      <c r="G57" s="160" t="e">
        <f>IF(A57&lt;&gt;"",IF(AND(#REF!="Padrão",$H$4=#REF!),BDI!$B$17,IF(AND(#REF!="Padrão",$H$4=#REF!),BDI!$C$17,IF(AND(#REF!="Diferenciado",$H$4=#REF!),BDI!$G$17,IF(AND(#REF!="Diferenciado",$H$4=#REF!),BDI!$H$17,IF(#REF!="ZERO",0))))),"")</f>
        <v>#REF!</v>
      </c>
      <c r="H57" s="161" t="str">
        <f t="shared" si="1"/>
        <v/>
      </c>
      <c r="I57" s="159" t="str">
        <f t="shared" si="2"/>
        <v/>
      </c>
    </row>
    <row r="58" spans="1:9" hidden="1" x14ac:dyDescent="0.25">
      <c r="A58" s="102" t="s">
        <v>2773</v>
      </c>
      <c r="B58" s="103" t="s">
        <v>2774</v>
      </c>
      <c r="C58" s="104" t="s">
        <v>2767</v>
      </c>
      <c r="D58" s="104">
        <v>0</v>
      </c>
      <c r="E58" s="158" t="s">
        <v>1079</v>
      </c>
      <c r="F58" s="159" t="str">
        <f t="shared" si="0"/>
        <v/>
      </c>
      <c r="G58" s="160" t="e">
        <f>IF(A58&lt;&gt;"",IF(AND(#REF!="Padrão",$H$4=#REF!),BDI!$B$17,IF(AND(#REF!="Padrão",$H$4=#REF!),BDI!$C$17,IF(AND(#REF!="Diferenciado",$H$4=#REF!),BDI!$G$17,IF(AND(#REF!="Diferenciado",$H$4=#REF!),BDI!$H$17,IF(#REF!="ZERO",0))))),"")</f>
        <v>#REF!</v>
      </c>
      <c r="H58" s="161" t="str">
        <f t="shared" si="1"/>
        <v/>
      </c>
      <c r="I58" s="159" t="str">
        <f t="shared" si="2"/>
        <v/>
      </c>
    </row>
    <row r="59" spans="1:9" hidden="1" x14ac:dyDescent="0.25">
      <c r="A59" s="102" t="s">
        <v>2775</v>
      </c>
      <c r="B59" s="103" t="s">
        <v>2776</v>
      </c>
      <c r="C59" s="104" t="s">
        <v>32</v>
      </c>
      <c r="D59" s="104">
        <v>0</v>
      </c>
      <c r="E59" s="158" t="s">
        <v>1079</v>
      </c>
      <c r="F59" s="159" t="str">
        <f t="shared" si="0"/>
        <v/>
      </c>
      <c r="G59" s="160" t="e">
        <f>IF(A59&lt;&gt;"",IF(AND(#REF!="Padrão",$H$4=#REF!),BDI!$B$17,IF(AND(#REF!="Padrão",$H$4=#REF!),BDI!$C$17,IF(AND(#REF!="Diferenciado",$H$4=#REF!),BDI!$G$17,IF(AND(#REF!="Diferenciado",$H$4=#REF!),BDI!$H$17,IF(#REF!="ZERO",0))))),"")</f>
        <v>#REF!</v>
      </c>
      <c r="H59" s="161" t="str">
        <f t="shared" si="1"/>
        <v/>
      </c>
      <c r="I59" s="159" t="str">
        <f t="shared" si="2"/>
        <v/>
      </c>
    </row>
    <row r="60" spans="1:9" hidden="1" x14ac:dyDescent="0.25">
      <c r="A60" s="102" t="s">
        <v>2777</v>
      </c>
      <c r="B60" s="103" t="s">
        <v>2778</v>
      </c>
      <c r="C60" s="104" t="s">
        <v>2767</v>
      </c>
      <c r="D60" s="104">
        <v>0</v>
      </c>
      <c r="E60" s="158" t="s">
        <v>1079</v>
      </c>
      <c r="F60" s="159" t="str">
        <f t="shared" si="0"/>
        <v/>
      </c>
      <c r="G60" s="160" t="e">
        <f>IF(A60&lt;&gt;"",IF(AND(#REF!="Padrão",$H$4=#REF!),BDI!$B$17,IF(AND(#REF!="Padrão",$H$4=#REF!),BDI!$C$17,IF(AND(#REF!="Diferenciado",$H$4=#REF!),BDI!$G$17,IF(AND(#REF!="Diferenciado",$H$4=#REF!),BDI!$H$17,IF(#REF!="ZERO",0))))),"")</f>
        <v>#REF!</v>
      </c>
      <c r="H60" s="161" t="str">
        <f t="shared" si="1"/>
        <v/>
      </c>
      <c r="I60" s="159" t="str">
        <f t="shared" si="2"/>
        <v/>
      </c>
    </row>
    <row r="61" spans="1:9" hidden="1" x14ac:dyDescent="0.25">
      <c r="A61" s="102" t="s">
        <v>2779</v>
      </c>
      <c r="B61" s="103" t="s">
        <v>2780</v>
      </c>
      <c r="C61" s="104" t="s">
        <v>32</v>
      </c>
      <c r="D61" s="104">
        <v>0</v>
      </c>
      <c r="E61" s="158" t="s">
        <v>1079</v>
      </c>
      <c r="F61" s="159" t="str">
        <f t="shared" si="0"/>
        <v/>
      </c>
      <c r="G61" s="160" t="e">
        <f>IF(A61&lt;&gt;"",IF(AND(#REF!="Padrão",$H$4=#REF!),BDI!$B$17,IF(AND(#REF!="Padrão",$H$4=#REF!),BDI!$C$17,IF(AND(#REF!="Diferenciado",$H$4=#REF!),BDI!$G$17,IF(AND(#REF!="Diferenciado",$H$4=#REF!),BDI!$H$17,IF(#REF!="ZERO",0))))),"")</f>
        <v>#REF!</v>
      </c>
      <c r="H61" s="161" t="str">
        <f t="shared" si="1"/>
        <v/>
      </c>
      <c r="I61" s="159" t="str">
        <f t="shared" si="2"/>
        <v/>
      </c>
    </row>
    <row r="62" spans="1:9" ht="25.5" hidden="1" x14ac:dyDescent="0.25">
      <c r="A62" s="102" t="s">
        <v>180</v>
      </c>
      <c r="B62" s="103" t="s">
        <v>2781</v>
      </c>
      <c r="C62" s="104" t="s">
        <v>189</v>
      </c>
      <c r="D62" s="104">
        <v>0</v>
      </c>
      <c r="E62" s="158">
        <f ca="1">OFFSET(INDEX(Composições!A:J,MATCH(Orçamentária!A62,Composições!A:A,0),10),2,0)</f>
        <v>16.143349999999998</v>
      </c>
      <c r="F62" s="159">
        <f t="shared" ca="1" si="0"/>
        <v>0</v>
      </c>
      <c r="G62" s="160" t="e">
        <f>IF(A62&lt;&gt;"",IF(AND(#REF!="Padrão",$H$4=#REF!),BDI!$B$17,IF(AND(#REF!="Padrão",$H$4=#REF!),BDI!$C$17,IF(AND(#REF!="Diferenciado",$H$4=#REF!),BDI!$G$17,IF(AND(#REF!="Diferenciado",$H$4=#REF!),BDI!$H$17,IF(#REF!="ZERO",0))))),"")</f>
        <v>#REF!</v>
      </c>
      <c r="H62" s="161" t="e">
        <f t="shared" ca="1" si="1"/>
        <v>#REF!</v>
      </c>
      <c r="I62" s="159" t="e">
        <f t="shared" ca="1" si="2"/>
        <v>#REF!</v>
      </c>
    </row>
    <row r="63" spans="1:9" hidden="1" x14ac:dyDescent="0.25">
      <c r="A63" s="102" t="s">
        <v>2782</v>
      </c>
      <c r="B63" s="103" t="s">
        <v>2783</v>
      </c>
      <c r="C63" s="104" t="s">
        <v>32</v>
      </c>
      <c r="D63" s="104">
        <v>0</v>
      </c>
      <c r="E63" s="158">
        <v>734.68</v>
      </c>
      <c r="F63" s="159">
        <f t="shared" si="0"/>
        <v>0</v>
      </c>
      <c r="G63" s="160" t="e">
        <f>IF(A63&lt;&gt;"",IF(AND(#REF!="Padrão",$H$4=#REF!),BDI!$B$17,IF(AND(#REF!="Padrão",$H$4=#REF!),BDI!$C$17,IF(AND(#REF!="Diferenciado",$H$4=#REF!),BDI!$G$17,IF(AND(#REF!="Diferenciado",$H$4=#REF!),BDI!$H$17,IF(#REF!="ZERO",0))))),"")</f>
        <v>#REF!</v>
      </c>
      <c r="H63" s="161" t="e">
        <f t="shared" si="1"/>
        <v>#REF!</v>
      </c>
      <c r="I63" s="159" t="e">
        <f t="shared" si="2"/>
        <v>#REF!</v>
      </c>
    </row>
    <row r="64" spans="1:9" hidden="1" x14ac:dyDescent="0.25">
      <c r="A64" s="102" t="s">
        <v>2784</v>
      </c>
      <c r="B64" s="103" t="s">
        <v>2785</v>
      </c>
      <c r="C64" s="104" t="s">
        <v>32</v>
      </c>
      <c r="D64" s="104">
        <v>0</v>
      </c>
      <c r="E64" s="158" t="s">
        <v>1079</v>
      </c>
      <c r="F64" s="159" t="str">
        <f t="shared" si="0"/>
        <v/>
      </c>
      <c r="G64" s="160" t="e">
        <f>IF(A64&lt;&gt;"",IF(AND(#REF!="Padrão",$H$4=#REF!),BDI!$B$17,IF(AND(#REF!="Padrão",$H$4=#REF!),BDI!$C$17,IF(AND(#REF!="Diferenciado",$H$4=#REF!),BDI!$G$17,IF(AND(#REF!="Diferenciado",$H$4=#REF!),BDI!$H$17,IF(#REF!="ZERO",0))))),"")</f>
        <v>#REF!</v>
      </c>
      <c r="H64" s="161" t="str">
        <f t="shared" si="1"/>
        <v/>
      </c>
      <c r="I64" s="159" t="str">
        <f t="shared" si="2"/>
        <v/>
      </c>
    </row>
    <row r="65" spans="1:9" hidden="1" x14ac:dyDescent="0.25">
      <c r="A65" s="102" t="s">
        <v>2786</v>
      </c>
      <c r="B65" s="103" t="s">
        <v>2787</v>
      </c>
      <c r="C65" s="104" t="s">
        <v>32</v>
      </c>
      <c r="D65" s="104">
        <v>0</v>
      </c>
      <c r="E65" s="158">
        <v>112.74</v>
      </c>
      <c r="F65" s="159">
        <f t="shared" si="0"/>
        <v>0</v>
      </c>
      <c r="G65" s="160" t="e">
        <f>IF(A65&lt;&gt;"",IF(AND(#REF!="Padrão",$H$4=#REF!),BDI!$B$17,IF(AND(#REF!="Padrão",$H$4=#REF!),BDI!$C$17,IF(AND(#REF!="Diferenciado",$H$4=#REF!),BDI!$G$17,IF(AND(#REF!="Diferenciado",$H$4=#REF!),BDI!$H$17,IF(#REF!="ZERO",0))))),"")</f>
        <v>#REF!</v>
      </c>
      <c r="H65" s="161" t="e">
        <f t="shared" si="1"/>
        <v>#REF!</v>
      </c>
      <c r="I65" s="159" t="e">
        <f t="shared" si="2"/>
        <v>#REF!</v>
      </c>
    </row>
    <row r="66" spans="1:9" hidden="1" x14ac:dyDescent="0.25">
      <c r="A66" s="102" t="s">
        <v>2788</v>
      </c>
      <c r="B66" s="103" t="s">
        <v>2789</v>
      </c>
      <c r="C66" s="104" t="s">
        <v>32</v>
      </c>
      <c r="D66" s="104">
        <v>0</v>
      </c>
      <c r="E66" s="158">
        <v>31.53</v>
      </c>
      <c r="F66" s="159">
        <f t="shared" si="0"/>
        <v>0</v>
      </c>
      <c r="G66" s="160" t="e">
        <f>IF(A66&lt;&gt;"",IF(AND(#REF!="Padrão",$H$4=#REF!),BDI!$B$17,IF(AND(#REF!="Padrão",$H$4=#REF!),BDI!$C$17,IF(AND(#REF!="Diferenciado",$H$4=#REF!),BDI!$G$17,IF(AND(#REF!="Diferenciado",$H$4=#REF!),BDI!$H$17,IF(#REF!="ZERO",0))))),"")</f>
        <v>#REF!</v>
      </c>
      <c r="H66" s="161" t="e">
        <f t="shared" si="1"/>
        <v>#REF!</v>
      </c>
      <c r="I66" s="159" t="e">
        <f t="shared" si="2"/>
        <v>#REF!</v>
      </c>
    </row>
    <row r="67" spans="1:9" hidden="1" x14ac:dyDescent="0.25">
      <c r="A67" s="102" t="s">
        <v>2790</v>
      </c>
      <c r="B67" s="103" t="s">
        <v>2791</v>
      </c>
      <c r="C67" s="104" t="s">
        <v>32</v>
      </c>
      <c r="D67" s="104">
        <v>0</v>
      </c>
      <c r="E67" s="158">
        <v>489.78</v>
      </c>
      <c r="F67" s="159">
        <f t="shared" si="0"/>
        <v>0</v>
      </c>
      <c r="G67" s="160" t="e">
        <f>IF(A67&lt;&gt;"",IF(AND(#REF!="Padrão",$H$4=#REF!),BDI!$B$17,IF(AND(#REF!="Padrão",$H$4=#REF!),BDI!$C$17,IF(AND(#REF!="Diferenciado",$H$4=#REF!),BDI!$G$17,IF(AND(#REF!="Diferenciado",$H$4=#REF!),BDI!$H$17,IF(#REF!="ZERO",0))))),"")</f>
        <v>#REF!</v>
      </c>
      <c r="H67" s="161" t="e">
        <f t="shared" si="1"/>
        <v>#REF!</v>
      </c>
      <c r="I67" s="159" t="e">
        <f t="shared" si="2"/>
        <v>#REF!</v>
      </c>
    </row>
    <row r="68" spans="1:9" hidden="1" x14ac:dyDescent="0.25">
      <c r="A68" s="102" t="s">
        <v>2792</v>
      </c>
      <c r="B68" s="103" t="s">
        <v>2793</v>
      </c>
      <c r="C68" s="104" t="s">
        <v>2765</v>
      </c>
      <c r="D68" s="104">
        <v>0</v>
      </c>
      <c r="E68" s="158" t="s">
        <v>1079</v>
      </c>
      <c r="F68" s="159" t="str">
        <f t="shared" si="0"/>
        <v/>
      </c>
      <c r="G68" s="160" t="e">
        <f>IF(A68&lt;&gt;"",IF(AND(#REF!="Padrão",$H$4=#REF!),BDI!$B$17,IF(AND(#REF!="Padrão",$H$4=#REF!),BDI!$C$17,IF(AND(#REF!="Diferenciado",$H$4=#REF!),BDI!$G$17,IF(AND(#REF!="Diferenciado",$H$4=#REF!),BDI!$H$17,IF(#REF!="ZERO",0))))),"")</f>
        <v>#REF!</v>
      </c>
      <c r="H68" s="161" t="str">
        <f t="shared" si="1"/>
        <v/>
      </c>
      <c r="I68" s="159" t="str">
        <f t="shared" si="2"/>
        <v/>
      </c>
    </row>
    <row r="69" spans="1:9" hidden="1" x14ac:dyDescent="0.25">
      <c r="A69" s="102" t="s">
        <v>2794</v>
      </c>
      <c r="B69" s="103" t="s">
        <v>2795</v>
      </c>
      <c r="C69" s="104" t="s">
        <v>32</v>
      </c>
      <c r="D69" s="104">
        <v>0</v>
      </c>
      <c r="E69" s="158" t="s">
        <v>1079</v>
      </c>
      <c r="F69" s="159" t="str">
        <f t="shared" si="0"/>
        <v/>
      </c>
      <c r="G69" s="160" t="e">
        <f>IF(A69&lt;&gt;"",IF(AND(#REF!="Padrão",$H$4=#REF!),BDI!$B$17,IF(AND(#REF!="Padrão",$H$4=#REF!),BDI!$C$17,IF(AND(#REF!="Diferenciado",$H$4=#REF!),BDI!$G$17,IF(AND(#REF!="Diferenciado",$H$4=#REF!),BDI!$H$17,IF(#REF!="ZERO",0))))),"")</f>
        <v>#REF!</v>
      </c>
      <c r="H69" s="161" t="str">
        <f t="shared" si="1"/>
        <v/>
      </c>
      <c r="I69" s="159" t="str">
        <f t="shared" si="2"/>
        <v/>
      </c>
    </row>
    <row r="70" spans="1:9" hidden="1" x14ac:dyDescent="0.25">
      <c r="A70" s="102" t="s">
        <v>2796</v>
      </c>
      <c r="B70" s="103" t="s">
        <v>2797</v>
      </c>
      <c r="C70" s="104" t="s">
        <v>32</v>
      </c>
      <c r="D70" s="104">
        <v>0</v>
      </c>
      <c r="E70" s="158">
        <v>106.72</v>
      </c>
      <c r="F70" s="159">
        <f t="shared" si="0"/>
        <v>0</v>
      </c>
      <c r="G70" s="160" t="e">
        <f>IF(A70&lt;&gt;"",IF(AND(#REF!="Padrão",$H$4=#REF!),BDI!$B$17,IF(AND(#REF!="Padrão",$H$4=#REF!),BDI!$C$17,IF(AND(#REF!="Diferenciado",$H$4=#REF!),BDI!$G$17,IF(AND(#REF!="Diferenciado",$H$4=#REF!),BDI!$H$17,IF(#REF!="ZERO",0))))),"")</f>
        <v>#REF!</v>
      </c>
      <c r="H70" s="161" t="e">
        <f t="shared" si="1"/>
        <v>#REF!</v>
      </c>
      <c r="I70" s="159" t="e">
        <f t="shared" si="2"/>
        <v>#REF!</v>
      </c>
    </row>
    <row r="71" spans="1:9" hidden="1" x14ac:dyDescent="0.25">
      <c r="A71" s="102" t="s">
        <v>2798</v>
      </c>
      <c r="B71" s="103" t="s">
        <v>2799</v>
      </c>
      <c r="C71" s="104" t="s">
        <v>32</v>
      </c>
      <c r="D71" s="104">
        <v>0</v>
      </c>
      <c r="E71" s="158">
        <v>93.16</v>
      </c>
      <c r="F71" s="159">
        <f t="shared" ref="F71:F134" si="3">IF(ISNUMBER(E71),D71*E71,"")</f>
        <v>0</v>
      </c>
      <c r="G71" s="160" t="e">
        <f>IF(A71&lt;&gt;"",IF(AND(#REF!="Padrão",$H$4=#REF!),BDI!$B$17,IF(AND(#REF!="Padrão",$H$4=#REF!),BDI!$C$17,IF(AND(#REF!="Diferenciado",$H$4=#REF!),BDI!$G$17,IF(AND(#REF!="Diferenciado",$H$4=#REF!),BDI!$H$17,IF(#REF!="ZERO",0))))),"")</f>
        <v>#REF!</v>
      </c>
      <c r="H71" s="161" t="e">
        <f t="shared" ref="H71:H134" si="4">IF(ISNUMBER(E71),ROUND(E71*(1+G71),2),"")</f>
        <v>#REF!</v>
      </c>
      <c r="I71" s="159" t="e">
        <f t="shared" ref="I71:I134" si="5">IF(ISNUMBER(E71),ROUND(H71*D71,2),"")</f>
        <v>#REF!</v>
      </c>
    </row>
    <row r="72" spans="1:9" hidden="1" x14ac:dyDescent="0.25">
      <c r="A72" s="102" t="s">
        <v>2800</v>
      </c>
      <c r="B72" s="103" t="s">
        <v>2801</v>
      </c>
      <c r="C72" s="104" t="s">
        <v>2802</v>
      </c>
      <c r="D72" s="104">
        <v>0</v>
      </c>
      <c r="E72" s="158" t="s">
        <v>1079</v>
      </c>
      <c r="F72" s="159" t="str">
        <f t="shared" si="3"/>
        <v/>
      </c>
      <c r="G72" s="160" t="e">
        <f>IF(A72&lt;&gt;"",IF(AND(#REF!="Padrão",$H$4=#REF!),BDI!$B$17,IF(AND(#REF!="Padrão",$H$4=#REF!),BDI!$C$17,IF(AND(#REF!="Diferenciado",$H$4=#REF!),BDI!$G$17,IF(AND(#REF!="Diferenciado",$H$4=#REF!),BDI!$H$17,IF(#REF!="ZERO",0))))),"")</f>
        <v>#REF!</v>
      </c>
      <c r="H72" s="161" t="str">
        <f t="shared" si="4"/>
        <v/>
      </c>
      <c r="I72" s="159" t="str">
        <f t="shared" si="5"/>
        <v/>
      </c>
    </row>
    <row r="73" spans="1:9" hidden="1" x14ac:dyDescent="0.25">
      <c r="A73" s="102" t="s">
        <v>2803</v>
      </c>
      <c r="B73" s="103" t="s">
        <v>2804</v>
      </c>
      <c r="C73" s="104" t="s">
        <v>2767</v>
      </c>
      <c r="D73" s="104">
        <v>0</v>
      </c>
      <c r="E73" s="158">
        <v>7.35</v>
      </c>
      <c r="F73" s="159">
        <f t="shared" si="3"/>
        <v>0</v>
      </c>
      <c r="G73" s="160" t="e">
        <f>IF(A73&lt;&gt;"",IF(AND(#REF!="Padrão",$H$4=#REF!),BDI!$B$17,IF(AND(#REF!="Padrão",$H$4=#REF!),BDI!$C$17,IF(AND(#REF!="Diferenciado",$H$4=#REF!),BDI!$G$17,IF(AND(#REF!="Diferenciado",$H$4=#REF!),BDI!$H$17,IF(#REF!="ZERO",0))))),"")</f>
        <v>#REF!</v>
      </c>
      <c r="H73" s="161" t="e">
        <f t="shared" si="4"/>
        <v>#REF!</v>
      </c>
      <c r="I73" s="159" t="e">
        <f t="shared" si="5"/>
        <v>#REF!</v>
      </c>
    </row>
    <row r="74" spans="1:9" hidden="1" x14ac:dyDescent="0.25">
      <c r="A74" s="102" t="s">
        <v>2805</v>
      </c>
      <c r="B74" s="103" t="s">
        <v>2806</v>
      </c>
      <c r="C74" s="104" t="s">
        <v>32</v>
      </c>
      <c r="D74" s="104">
        <v>0</v>
      </c>
      <c r="E74" s="158">
        <v>202.22</v>
      </c>
      <c r="F74" s="159">
        <f t="shared" si="3"/>
        <v>0</v>
      </c>
      <c r="G74" s="160" t="e">
        <f>IF(A74&lt;&gt;"",IF(AND(#REF!="Padrão",$H$4=#REF!),BDI!$B$17,IF(AND(#REF!="Padrão",$H$4=#REF!),BDI!$C$17,IF(AND(#REF!="Diferenciado",$H$4=#REF!),BDI!$G$17,IF(AND(#REF!="Diferenciado",$H$4=#REF!),BDI!$H$17,IF(#REF!="ZERO",0))))),"")</f>
        <v>#REF!</v>
      </c>
      <c r="H74" s="161" t="e">
        <f t="shared" si="4"/>
        <v>#REF!</v>
      </c>
      <c r="I74" s="198" t="e">
        <f t="shared" si="5"/>
        <v>#REF!</v>
      </c>
    </row>
    <row r="75" spans="1:9" x14ac:dyDescent="0.25">
      <c r="A75" s="204" t="s">
        <v>191</v>
      </c>
      <c r="B75" s="205" t="s">
        <v>2807</v>
      </c>
      <c r="C75" s="206" t="s">
        <v>189</v>
      </c>
      <c r="D75" s="206">
        <v>152.63</v>
      </c>
      <c r="E75" s="158">
        <f ca="1">OFFSET(INDEX(Composições!A:J,MATCH(Orçamentária!A75,Composições!A:A,0),10),2,0)</f>
        <v>62.968926000000003</v>
      </c>
      <c r="F75" s="159">
        <f t="shared" ca="1" si="3"/>
        <v>9610.9471753800008</v>
      </c>
      <c r="G75" s="160">
        <f>BDI!$C$17</f>
        <v>0.24479999999999999</v>
      </c>
      <c r="H75" s="161">
        <f t="shared" ca="1" si="4"/>
        <v>78.38</v>
      </c>
      <c r="I75" s="202">
        <f t="shared" ca="1" si="5"/>
        <v>11963.14</v>
      </c>
    </row>
    <row r="76" spans="1:9" hidden="1" x14ac:dyDescent="0.25">
      <c r="A76" s="102" t="s">
        <v>2808</v>
      </c>
      <c r="B76" s="103" t="s">
        <v>2809</v>
      </c>
      <c r="C76" s="104" t="s">
        <v>32</v>
      </c>
      <c r="D76" s="104">
        <v>0</v>
      </c>
      <c r="E76" s="158" t="s">
        <v>1079</v>
      </c>
      <c r="F76" s="159" t="str">
        <f t="shared" si="3"/>
        <v/>
      </c>
      <c r="G76" s="160" t="e">
        <f>IF(A76&lt;&gt;"",IF(AND(#REF!="Padrão",$H$4=#REF!),BDI!$B$17,IF(AND(#REF!="Padrão",$H$4=#REF!),BDI!$C$17,IF(AND(#REF!="Diferenciado",$H$4=#REF!),BDI!$G$17,IF(AND(#REF!="Diferenciado",$H$4=#REF!),BDI!$H$17,IF(#REF!="ZERO",0))))),"")</f>
        <v>#REF!</v>
      </c>
      <c r="H76" s="161" t="str">
        <f t="shared" si="4"/>
        <v/>
      </c>
      <c r="I76" s="159" t="str">
        <f t="shared" si="5"/>
        <v/>
      </c>
    </row>
    <row r="77" spans="1:9" hidden="1" x14ac:dyDescent="0.25">
      <c r="A77" s="102" t="s">
        <v>2810</v>
      </c>
      <c r="B77" s="103" t="s">
        <v>2811</v>
      </c>
      <c r="C77" s="104" t="s">
        <v>32</v>
      </c>
      <c r="D77" s="104">
        <v>0</v>
      </c>
      <c r="E77" s="158" t="s">
        <v>1079</v>
      </c>
      <c r="F77" s="159" t="str">
        <f t="shared" si="3"/>
        <v/>
      </c>
      <c r="G77" s="160" t="e">
        <f>IF(A77&lt;&gt;"",IF(AND(#REF!="Padrão",$H$4=#REF!),BDI!$B$17,IF(AND(#REF!="Padrão",$H$4=#REF!),BDI!$C$17,IF(AND(#REF!="Diferenciado",$H$4=#REF!),BDI!$G$17,IF(AND(#REF!="Diferenciado",$H$4=#REF!),BDI!$H$17,IF(#REF!="ZERO",0))))),"")</f>
        <v>#REF!</v>
      </c>
      <c r="H77" s="161" t="str">
        <f t="shared" si="4"/>
        <v/>
      </c>
      <c r="I77" s="198" t="str">
        <f t="shared" si="5"/>
        <v/>
      </c>
    </row>
    <row r="78" spans="1:9" x14ac:dyDescent="0.25">
      <c r="A78" s="204" t="s">
        <v>214</v>
      </c>
      <c r="B78" s="205" t="s">
        <v>2812</v>
      </c>
      <c r="C78" s="206" t="s">
        <v>189</v>
      </c>
      <c r="D78" s="206">
        <v>300</v>
      </c>
      <c r="E78" s="158">
        <f ca="1">OFFSET(INDEX(Composições!A:J,MATCH(Orçamentária!A78,Composições!A:A,0),10),2,0)</f>
        <v>2.1296149999999998</v>
      </c>
      <c r="F78" s="159">
        <f t="shared" ca="1" si="3"/>
        <v>638.88449999999989</v>
      </c>
      <c r="G78" s="160">
        <f>BDI!$C$17</f>
        <v>0.24479999999999999</v>
      </c>
      <c r="H78" s="161">
        <f t="shared" ca="1" si="4"/>
        <v>2.65</v>
      </c>
      <c r="I78" s="202">
        <f t="shared" ca="1" si="5"/>
        <v>795</v>
      </c>
    </row>
    <row r="79" spans="1:9" x14ac:dyDescent="0.25">
      <c r="A79" s="204" t="s">
        <v>221</v>
      </c>
      <c r="B79" s="205" t="s">
        <v>2813</v>
      </c>
      <c r="C79" s="206" t="s">
        <v>184</v>
      </c>
      <c r="D79" s="206">
        <v>8.8699999999999992</v>
      </c>
      <c r="E79" s="158">
        <f ca="1">OFFSET(INDEX(Composições!A:J,MATCH(Orçamentária!A79,Composições!A:A,0),10),2,0)</f>
        <v>14.119195718850001</v>
      </c>
      <c r="F79" s="159">
        <f t="shared" ca="1" si="3"/>
        <v>125.23726602619951</v>
      </c>
      <c r="G79" s="160">
        <f>BDI!$C$17</f>
        <v>0.24479999999999999</v>
      </c>
      <c r="H79" s="161">
        <f t="shared" ca="1" si="4"/>
        <v>17.579999999999998</v>
      </c>
      <c r="I79" s="199">
        <f t="shared" ca="1" si="5"/>
        <v>155.93</v>
      </c>
    </row>
    <row r="80" spans="1:9" x14ac:dyDescent="0.25">
      <c r="A80" s="204" t="s">
        <v>230</v>
      </c>
      <c r="B80" s="205" t="s">
        <v>2814</v>
      </c>
      <c r="C80" s="206" t="s">
        <v>32</v>
      </c>
      <c r="D80" s="206">
        <v>1</v>
      </c>
      <c r="E80" s="158">
        <f ca="1">OFFSET(INDEX(Composições!A:J,MATCH(Orçamentária!A80,Composições!A:A,0),10),2,0)</f>
        <v>71.217101500000012</v>
      </c>
      <c r="F80" s="159">
        <f t="shared" ca="1" si="3"/>
        <v>71.217101500000012</v>
      </c>
      <c r="G80" s="160">
        <f>BDI!$C$17</f>
        <v>0.24479999999999999</v>
      </c>
      <c r="H80" s="161">
        <f t="shared" ca="1" si="4"/>
        <v>88.65</v>
      </c>
      <c r="I80" s="199">
        <f t="shared" ca="1" si="5"/>
        <v>88.65</v>
      </c>
    </row>
    <row r="81" spans="1:9" x14ac:dyDescent="0.25">
      <c r="A81" s="204" t="s">
        <v>232</v>
      </c>
      <c r="B81" s="205" t="s">
        <v>2815</v>
      </c>
      <c r="C81" s="206" t="s">
        <v>32</v>
      </c>
      <c r="D81" s="206">
        <v>3</v>
      </c>
      <c r="E81" s="158">
        <f ca="1">OFFSET(INDEX(Composições!A:J,MATCH(Orçamentária!A81,Composições!A:A,0),10),2,0)</f>
        <v>90.959659500000001</v>
      </c>
      <c r="F81" s="159">
        <f t="shared" ca="1" si="3"/>
        <v>272.87897850000002</v>
      </c>
      <c r="G81" s="160">
        <f>BDI!$C$17</f>
        <v>0.24479999999999999</v>
      </c>
      <c r="H81" s="161">
        <f t="shared" ca="1" si="4"/>
        <v>113.23</v>
      </c>
      <c r="I81" s="199">
        <f t="shared" ca="1" si="5"/>
        <v>339.69</v>
      </c>
    </row>
    <row r="82" spans="1:9" x14ac:dyDescent="0.25">
      <c r="A82" s="204" t="s">
        <v>234</v>
      </c>
      <c r="B82" s="205" t="s">
        <v>2816</v>
      </c>
      <c r="C82" s="206" t="s">
        <v>228</v>
      </c>
      <c r="D82" s="206">
        <v>4.2699999999999996</v>
      </c>
      <c r="E82" s="158">
        <f ca="1">OFFSET(INDEX(Composições!A:J,MATCH(Orçamentária!A82,Composições!A:A,0),10),2,0)</f>
        <v>451.48440603999995</v>
      </c>
      <c r="F82" s="159">
        <f t="shared" ca="1" si="3"/>
        <v>1927.8384137907997</v>
      </c>
      <c r="G82" s="160">
        <f>BDI!$C$17</f>
        <v>0.24479999999999999</v>
      </c>
      <c r="H82" s="161">
        <f t="shared" ca="1" si="4"/>
        <v>562.01</v>
      </c>
      <c r="I82" s="199">
        <f t="shared" ca="1" si="5"/>
        <v>2399.7800000000002</v>
      </c>
    </row>
    <row r="83" spans="1:9" x14ac:dyDescent="0.25">
      <c r="A83" s="204" t="s">
        <v>258</v>
      </c>
      <c r="B83" s="205" t="s">
        <v>2817</v>
      </c>
      <c r="C83" s="206" t="s">
        <v>228</v>
      </c>
      <c r="D83" s="206">
        <v>1.56</v>
      </c>
      <c r="E83" s="158">
        <f ca="1">OFFSET(INDEX(Composições!A:J,MATCH(Orçamentária!A83,Composições!A:A,0),10),2,0)</f>
        <v>476.80909145999999</v>
      </c>
      <c r="F83" s="159">
        <f t="shared" ca="1" si="3"/>
        <v>743.82218267760004</v>
      </c>
      <c r="G83" s="160">
        <f>BDI!$C$17</f>
        <v>0.24479999999999999</v>
      </c>
      <c r="H83" s="161">
        <f t="shared" ca="1" si="4"/>
        <v>593.53</v>
      </c>
      <c r="I83" s="199">
        <f t="shared" ca="1" si="5"/>
        <v>925.91</v>
      </c>
    </row>
    <row r="84" spans="1:9" hidden="1" x14ac:dyDescent="0.25">
      <c r="A84" s="102" t="s">
        <v>261</v>
      </c>
      <c r="B84" s="103" t="s">
        <v>2818</v>
      </c>
      <c r="C84" s="104" t="s">
        <v>2765</v>
      </c>
      <c r="D84" s="104">
        <v>0</v>
      </c>
      <c r="E84" s="158">
        <f ca="1">OFFSET(INDEX(Composições!A:J,MATCH(Orçamentária!A84,Composições!A:A,0),10),2,0)</f>
        <v>11.447975</v>
      </c>
      <c r="F84" s="159">
        <f t="shared" ca="1" si="3"/>
        <v>0</v>
      </c>
      <c r="G84" s="160" t="e">
        <f>IF(A84&lt;&gt;"",IF(AND(#REF!="Padrão",$H$4=#REF!),BDI!$B$17,IF(AND(#REF!="Padrão",$H$4=#REF!),BDI!$C$17,IF(AND(#REF!="Diferenciado",$H$4=#REF!),BDI!$G$17,IF(AND(#REF!="Diferenciado",$H$4=#REF!),BDI!$H$17,IF(#REF!="ZERO",0))))),"")</f>
        <v>#REF!</v>
      </c>
      <c r="H84" s="161" t="e">
        <f t="shared" ca="1" si="4"/>
        <v>#REF!</v>
      </c>
      <c r="I84" s="198" t="e">
        <f t="shared" ca="1" si="5"/>
        <v>#REF!</v>
      </c>
    </row>
    <row r="85" spans="1:9" x14ac:dyDescent="0.25">
      <c r="A85" s="204" t="s">
        <v>269</v>
      </c>
      <c r="B85" s="205" t="s">
        <v>2819</v>
      </c>
      <c r="C85" s="206" t="s">
        <v>75</v>
      </c>
      <c r="D85" s="206">
        <v>215</v>
      </c>
      <c r="E85" s="158">
        <f ca="1">OFFSET(INDEX(Composições!A:J,MATCH(Orçamentária!A85,Composições!A:A,0),10),2,0)</f>
        <v>15.109607500000003</v>
      </c>
      <c r="F85" s="159">
        <f t="shared" ca="1" si="3"/>
        <v>3248.5656125000005</v>
      </c>
      <c r="G85" s="160">
        <f>BDI!$C$17</f>
        <v>0.24479999999999999</v>
      </c>
      <c r="H85" s="161">
        <f t="shared" ca="1" si="4"/>
        <v>18.809999999999999</v>
      </c>
      <c r="I85" s="202">
        <f t="shared" ca="1" si="5"/>
        <v>4044.15</v>
      </c>
    </row>
    <row r="86" spans="1:9" x14ac:dyDescent="0.25">
      <c r="A86" s="204" t="s">
        <v>286</v>
      </c>
      <c r="B86" s="205" t="s">
        <v>2820</v>
      </c>
      <c r="C86" s="206" t="s">
        <v>189</v>
      </c>
      <c r="D86" s="206">
        <v>14.28</v>
      </c>
      <c r="E86" s="158">
        <f ca="1">OFFSET(INDEX(Composições!A:J,MATCH(Orçamentária!A86,Composições!A:A,0),10),2,0)</f>
        <v>105.00082088599999</v>
      </c>
      <c r="F86" s="159">
        <f t="shared" ca="1" si="3"/>
        <v>1499.4117222520797</v>
      </c>
      <c r="G86" s="160">
        <f>BDI!$C$17</f>
        <v>0.24479999999999999</v>
      </c>
      <c r="H86" s="161">
        <f t="shared" ca="1" si="4"/>
        <v>130.71</v>
      </c>
      <c r="I86" s="199">
        <f t="shared" ca="1" si="5"/>
        <v>1866.54</v>
      </c>
    </row>
    <row r="87" spans="1:9" x14ac:dyDescent="0.25">
      <c r="A87" s="204" t="s">
        <v>298</v>
      </c>
      <c r="B87" s="205" t="s">
        <v>2821</v>
      </c>
      <c r="C87" s="206" t="s">
        <v>184</v>
      </c>
      <c r="D87" s="206">
        <v>22</v>
      </c>
      <c r="E87" s="158">
        <f ca="1">OFFSET(INDEX(Composições!A:J,MATCH(Orçamentária!A87,Composições!A:A,0),10),2,0)</f>
        <v>22.879083699999995</v>
      </c>
      <c r="F87" s="159">
        <f t="shared" ca="1" si="3"/>
        <v>503.3398413999999</v>
      </c>
      <c r="G87" s="160">
        <f>BDI!$C$17</f>
        <v>0.24479999999999999</v>
      </c>
      <c r="H87" s="161">
        <f t="shared" ca="1" si="4"/>
        <v>28.48</v>
      </c>
      <c r="I87" s="199">
        <f t="shared" ca="1" si="5"/>
        <v>626.55999999999995</v>
      </c>
    </row>
    <row r="88" spans="1:9" x14ac:dyDescent="0.25">
      <c r="A88" s="204" t="s">
        <v>309</v>
      </c>
      <c r="B88" s="205" t="s">
        <v>2822</v>
      </c>
      <c r="C88" s="206" t="s">
        <v>189</v>
      </c>
      <c r="D88" s="206">
        <v>40.1</v>
      </c>
      <c r="E88" s="158">
        <f ca="1">OFFSET(INDEX(Composições!A:J,MATCH(Orçamentária!A88,Composições!A:A,0),10),2,0)</f>
        <v>18.634211999999998</v>
      </c>
      <c r="F88" s="159">
        <f t="shared" ca="1" si="3"/>
        <v>747.23190119999992</v>
      </c>
      <c r="G88" s="160">
        <f>BDI!$C$17</f>
        <v>0.24479999999999999</v>
      </c>
      <c r="H88" s="161">
        <f t="shared" ca="1" si="4"/>
        <v>23.2</v>
      </c>
      <c r="I88" s="199">
        <f t="shared" ca="1" si="5"/>
        <v>930.32</v>
      </c>
    </row>
    <row r="89" spans="1:9" x14ac:dyDescent="0.25">
      <c r="A89" s="204" t="s">
        <v>315</v>
      </c>
      <c r="B89" s="205" t="s">
        <v>2823</v>
      </c>
      <c r="C89" s="206" t="s">
        <v>189</v>
      </c>
      <c r="D89" s="206">
        <v>81.52</v>
      </c>
      <c r="E89" s="158">
        <f ca="1">OFFSET(INDEX(Composições!A:J,MATCH(Orçamentária!A89,Composições!A:A,0),10),2,0)</f>
        <v>53.937749790079998</v>
      </c>
      <c r="F89" s="159">
        <f t="shared" ca="1" si="3"/>
        <v>4397.0053628873211</v>
      </c>
      <c r="G89" s="160">
        <f>BDI!$C$17</f>
        <v>0.24479999999999999</v>
      </c>
      <c r="H89" s="161">
        <f t="shared" ca="1" si="4"/>
        <v>67.14</v>
      </c>
      <c r="I89" s="199">
        <f t="shared" ca="1" si="5"/>
        <v>5473.25</v>
      </c>
    </row>
    <row r="90" spans="1:9" hidden="1" x14ac:dyDescent="0.25">
      <c r="A90" s="102" t="s">
        <v>328</v>
      </c>
      <c r="B90" s="103" t="s">
        <v>2824</v>
      </c>
      <c r="C90" s="104" t="s">
        <v>189</v>
      </c>
      <c r="D90" s="104">
        <v>0</v>
      </c>
      <c r="E90" s="158">
        <f ca="1">OFFSET(INDEX(Composições!A:J,MATCH(Orçamentária!A90,Composições!A:A,0),10),2,0)</f>
        <v>47.127783350000001</v>
      </c>
      <c r="F90" s="159">
        <f t="shared" ca="1" si="3"/>
        <v>0</v>
      </c>
      <c r="G90" s="160" t="e">
        <f>IF(A90&lt;&gt;"",IF(AND(#REF!="Padrão",$H$4=#REF!),BDI!$B$17,IF(AND(#REF!="Padrão",$H$4=#REF!),BDI!$C$17,IF(AND(#REF!="Diferenciado",$H$4=#REF!),BDI!$G$17,IF(AND(#REF!="Diferenciado",$H$4=#REF!),BDI!$H$17,IF(#REF!="ZERO",0))))),"")</f>
        <v>#REF!</v>
      </c>
      <c r="H90" s="161" t="e">
        <f t="shared" ca="1" si="4"/>
        <v>#REF!</v>
      </c>
      <c r="I90" s="198" t="e">
        <f t="shared" ca="1" si="5"/>
        <v>#REF!</v>
      </c>
    </row>
    <row r="91" spans="1:9" x14ac:dyDescent="0.25">
      <c r="A91" s="204" t="s">
        <v>348</v>
      </c>
      <c r="B91" s="205" t="s">
        <v>2825</v>
      </c>
      <c r="C91" s="206" t="s">
        <v>184</v>
      </c>
      <c r="D91" s="206">
        <v>26.85</v>
      </c>
      <c r="E91" s="158">
        <f ca="1">OFFSET(INDEX(Composições!A:J,MATCH(Orçamentária!A91,Composições!A:A,0),10),2,0)</f>
        <v>16.94599332716</v>
      </c>
      <c r="F91" s="159">
        <f t="shared" ca="1" si="3"/>
        <v>454.99992083424604</v>
      </c>
      <c r="G91" s="160">
        <f>BDI!$C$17</f>
        <v>0.24479999999999999</v>
      </c>
      <c r="H91" s="161">
        <f t="shared" ca="1" si="4"/>
        <v>21.09</v>
      </c>
      <c r="I91" s="202">
        <f t="shared" ca="1" si="5"/>
        <v>566.27</v>
      </c>
    </row>
    <row r="92" spans="1:9" hidden="1" x14ac:dyDescent="0.25">
      <c r="A92" s="102" t="s">
        <v>355</v>
      </c>
      <c r="B92" s="103" t="s">
        <v>2826</v>
      </c>
      <c r="C92" s="104" t="s">
        <v>189</v>
      </c>
      <c r="D92" s="104">
        <v>0</v>
      </c>
      <c r="E92" s="158">
        <f ca="1">OFFSET(INDEX(Composições!A:J,MATCH(Orçamentária!A92,Composições!A:A,0),10),2,0)</f>
        <v>74.807559999999995</v>
      </c>
      <c r="F92" s="159">
        <f t="shared" ca="1" si="3"/>
        <v>0</v>
      </c>
      <c r="G92" s="160" t="e">
        <f>IF(A92&lt;&gt;"",IF(AND(#REF!="Padrão",$H$4=#REF!),BDI!$B$17,IF(AND(#REF!="Padrão",$H$4=#REF!),BDI!$C$17,IF(AND(#REF!="Diferenciado",$H$4=#REF!),BDI!$G$17,IF(AND(#REF!="Diferenciado",$H$4=#REF!),BDI!$H$17,IF(#REF!="ZERO",0))))),"")</f>
        <v>#REF!</v>
      </c>
      <c r="H92" s="161" t="e">
        <f t="shared" ca="1" si="4"/>
        <v>#REF!</v>
      </c>
      <c r="I92" s="159" t="e">
        <f t="shared" ca="1" si="5"/>
        <v>#REF!</v>
      </c>
    </row>
    <row r="93" spans="1:9" hidden="1" x14ac:dyDescent="0.25">
      <c r="A93" s="102" t="s">
        <v>366</v>
      </c>
      <c r="B93" s="103" t="s">
        <v>2827</v>
      </c>
      <c r="C93" s="104" t="s">
        <v>189</v>
      </c>
      <c r="D93" s="104">
        <v>0</v>
      </c>
      <c r="E93" s="158">
        <f ca="1">OFFSET(INDEX(Composições!A:J,MATCH(Orçamentária!A93,Composições!A:A,0),10),2,0)</f>
        <v>5.0501961999999994</v>
      </c>
      <c r="F93" s="159">
        <f t="shared" ca="1" si="3"/>
        <v>0</v>
      </c>
      <c r="G93" s="160" t="e">
        <f>IF(A93&lt;&gt;"",IF(AND(#REF!="Padrão",$H$4=#REF!),BDI!$B$17,IF(AND(#REF!="Padrão",$H$4=#REF!),BDI!$C$17,IF(AND(#REF!="Diferenciado",$H$4=#REF!),BDI!$G$17,IF(AND(#REF!="Diferenciado",$H$4=#REF!),BDI!$H$17,IF(#REF!="ZERO",0))))),"")</f>
        <v>#REF!</v>
      </c>
      <c r="H93" s="161" t="e">
        <f t="shared" ca="1" si="4"/>
        <v>#REF!</v>
      </c>
      <c r="I93" s="159" t="e">
        <f t="shared" ca="1" si="5"/>
        <v>#REF!</v>
      </c>
    </row>
    <row r="94" spans="1:9" hidden="1" x14ac:dyDescent="0.25">
      <c r="A94" s="102" t="s">
        <v>368</v>
      </c>
      <c r="B94" s="103" t="s">
        <v>2828</v>
      </c>
      <c r="C94" s="104" t="s">
        <v>189</v>
      </c>
      <c r="D94" s="104">
        <v>0</v>
      </c>
      <c r="E94" s="158">
        <f ca="1">OFFSET(INDEX(Composições!A:J,MATCH(Orçamentária!A94,Composições!A:A,0),10),2,0)</f>
        <v>56.339573438320002</v>
      </c>
      <c r="F94" s="159">
        <f t="shared" ca="1" si="3"/>
        <v>0</v>
      </c>
      <c r="G94" s="160" t="e">
        <f>IF(A94&lt;&gt;"",IF(AND(#REF!="Padrão",$H$4=#REF!),BDI!$B$17,IF(AND(#REF!="Padrão",$H$4=#REF!),BDI!$C$17,IF(AND(#REF!="Diferenciado",$H$4=#REF!),BDI!$G$17,IF(AND(#REF!="Diferenciado",$H$4=#REF!),BDI!$H$17,IF(#REF!="ZERO",0))))),"")</f>
        <v>#REF!</v>
      </c>
      <c r="H94" s="161" t="e">
        <f t="shared" ca="1" si="4"/>
        <v>#REF!</v>
      </c>
      <c r="I94" s="159" t="e">
        <f t="shared" ca="1" si="5"/>
        <v>#REF!</v>
      </c>
    </row>
    <row r="95" spans="1:9" hidden="1" x14ac:dyDescent="0.25">
      <c r="A95" s="102" t="s">
        <v>374</v>
      </c>
      <c r="B95" s="103" t="s">
        <v>2829</v>
      </c>
      <c r="C95" s="104" t="s">
        <v>189</v>
      </c>
      <c r="D95" s="104">
        <v>0</v>
      </c>
      <c r="E95" s="158">
        <f ca="1">OFFSET(INDEX(Composições!A:J,MATCH(Orçamentária!A95,Composições!A:A,0),10),2,0)</f>
        <v>11.268844444000001</v>
      </c>
      <c r="F95" s="159">
        <f t="shared" ca="1" si="3"/>
        <v>0</v>
      </c>
      <c r="G95" s="160" t="e">
        <f>IF(A95&lt;&gt;"",IF(AND(#REF!="Padrão",$H$4=#REF!),BDI!$B$17,IF(AND(#REF!="Padrão",$H$4=#REF!),BDI!$C$17,IF(AND(#REF!="Diferenciado",$H$4=#REF!),BDI!$G$17,IF(AND(#REF!="Diferenciado",$H$4=#REF!),BDI!$H$17,IF(#REF!="ZERO",0))))),"")</f>
        <v>#REF!</v>
      </c>
      <c r="H95" s="161" t="e">
        <f t="shared" ca="1" si="4"/>
        <v>#REF!</v>
      </c>
      <c r="I95" s="198" t="e">
        <f t="shared" ca="1" si="5"/>
        <v>#REF!</v>
      </c>
    </row>
    <row r="96" spans="1:9" x14ac:dyDescent="0.25">
      <c r="A96" s="204" t="s">
        <v>378</v>
      </c>
      <c r="B96" s="205" t="s">
        <v>2830</v>
      </c>
      <c r="C96" s="206" t="s">
        <v>189</v>
      </c>
      <c r="D96" s="206">
        <v>89.76</v>
      </c>
      <c r="E96" s="158">
        <f ca="1">OFFSET(INDEX(Composições!A:J,MATCH(Orçamentária!A96,Composições!A:A,0),10),2,0)</f>
        <v>3.2605874163799999</v>
      </c>
      <c r="F96" s="159">
        <f t="shared" ca="1" si="3"/>
        <v>292.67032649426881</v>
      </c>
      <c r="G96" s="160">
        <f>BDI!$C$17</f>
        <v>0.24479999999999999</v>
      </c>
      <c r="H96" s="161">
        <f t="shared" ca="1" si="4"/>
        <v>4.0599999999999996</v>
      </c>
      <c r="I96" s="202">
        <f t="shared" ca="1" si="5"/>
        <v>364.43</v>
      </c>
    </row>
    <row r="97" spans="1:9" hidden="1" x14ac:dyDescent="0.25">
      <c r="A97" s="102" t="s">
        <v>383</v>
      </c>
      <c r="B97" s="103" t="s">
        <v>388</v>
      </c>
      <c r="C97" s="104" t="s">
        <v>189</v>
      </c>
      <c r="D97" s="104">
        <v>0</v>
      </c>
      <c r="E97" s="158">
        <f ca="1">OFFSET(INDEX(Composições!A:J,MATCH(Orçamentária!A97,Composições!A:A,0),10),2,0)</f>
        <v>8.7688799999999993</v>
      </c>
      <c r="F97" s="159">
        <f t="shared" ca="1" si="3"/>
        <v>0</v>
      </c>
      <c r="G97" s="160" t="e">
        <f>IF(A97&lt;&gt;"",IF(AND(#REF!="Padrão",$H$4=#REF!),BDI!$B$17,IF(AND(#REF!="Padrão",$H$4=#REF!),BDI!$C$17,IF(AND(#REF!="Diferenciado",$H$4=#REF!),BDI!$G$17,IF(AND(#REF!="Diferenciado",$H$4=#REF!),BDI!$H$17,IF(#REF!="ZERO",0))))),"")</f>
        <v>#REF!</v>
      </c>
      <c r="H97" s="161" t="e">
        <f t="shared" ca="1" si="4"/>
        <v>#REF!</v>
      </c>
      <c r="I97" s="198" t="e">
        <f t="shared" ca="1" si="5"/>
        <v>#REF!</v>
      </c>
    </row>
    <row r="98" spans="1:9" x14ac:dyDescent="0.25">
      <c r="A98" s="204" t="s">
        <v>390</v>
      </c>
      <c r="B98" s="205" t="s">
        <v>2831</v>
      </c>
      <c r="C98" s="206" t="s">
        <v>189</v>
      </c>
      <c r="D98" s="206">
        <v>89.76</v>
      </c>
      <c r="E98" s="158">
        <f ca="1">OFFSET(INDEX(Composições!A:J,MATCH(Orçamentária!A98,Composições!A:A,0),10),2,0)</f>
        <v>27.330515800000001</v>
      </c>
      <c r="F98" s="159">
        <f t="shared" ca="1" si="3"/>
        <v>2453.1870982080004</v>
      </c>
      <c r="G98" s="160">
        <f>BDI!$C$17</f>
        <v>0.24479999999999999</v>
      </c>
      <c r="H98" s="161">
        <f t="shared" ca="1" si="4"/>
        <v>34.020000000000003</v>
      </c>
      <c r="I98" s="202">
        <f t="shared" ca="1" si="5"/>
        <v>3053.64</v>
      </c>
    </row>
    <row r="99" spans="1:9" hidden="1" x14ac:dyDescent="0.25">
      <c r="A99" s="102" t="s">
        <v>398</v>
      </c>
      <c r="B99" s="103" t="s">
        <v>2832</v>
      </c>
      <c r="C99" s="104" t="s">
        <v>189</v>
      </c>
      <c r="D99" s="104">
        <v>0</v>
      </c>
      <c r="E99" s="158">
        <f ca="1">OFFSET(INDEX(Composições!A:J,MATCH(Orçamentária!A99,Composições!A:A,0),10),2,0)</f>
        <v>9.6464652999999991</v>
      </c>
      <c r="F99" s="159">
        <f t="shared" ca="1" si="3"/>
        <v>0</v>
      </c>
      <c r="G99" s="160" t="e">
        <f>IF(A99&lt;&gt;"",IF(AND(#REF!="Padrão",$H$4=#REF!),BDI!$B$17,IF(AND(#REF!="Padrão",$H$4=#REF!),BDI!$C$17,IF(AND(#REF!="Diferenciado",$H$4=#REF!),BDI!$G$17,IF(AND(#REF!="Diferenciado",$H$4=#REF!),BDI!$H$17,IF(#REF!="ZERO",0))))),"")</f>
        <v>#REF!</v>
      </c>
      <c r="H99" s="161" t="e">
        <f t="shared" ca="1" si="4"/>
        <v>#REF!</v>
      </c>
      <c r="I99" s="159" t="e">
        <f t="shared" ca="1" si="5"/>
        <v>#REF!</v>
      </c>
    </row>
    <row r="100" spans="1:9" hidden="1" x14ac:dyDescent="0.25">
      <c r="A100" s="102" t="s">
        <v>401</v>
      </c>
      <c r="B100" s="103" t="s">
        <v>2833</v>
      </c>
      <c r="C100" s="104" t="s">
        <v>184</v>
      </c>
      <c r="D100" s="104">
        <v>0</v>
      </c>
      <c r="E100" s="158">
        <f ca="1">OFFSET(INDEX(Composições!A:J,MATCH(Orçamentária!A100,Composições!A:A,0),10),2,0)</f>
        <v>16.748156099999999</v>
      </c>
      <c r="F100" s="159">
        <f t="shared" ca="1" si="3"/>
        <v>0</v>
      </c>
      <c r="G100" s="160" t="e">
        <f>IF(A100&lt;&gt;"",IF(AND(#REF!="Padrão",$H$4=#REF!),BDI!$B$17,IF(AND(#REF!="Padrão",$H$4=#REF!),BDI!$C$17,IF(AND(#REF!="Diferenciado",$H$4=#REF!),BDI!$G$17,IF(AND(#REF!="Diferenciado",$H$4=#REF!),BDI!$H$17,IF(#REF!="ZERO",0))))),"")</f>
        <v>#REF!</v>
      </c>
      <c r="H100" s="161" t="e">
        <f t="shared" ca="1" si="4"/>
        <v>#REF!</v>
      </c>
      <c r="I100" s="198" t="e">
        <f t="shared" ca="1" si="5"/>
        <v>#REF!</v>
      </c>
    </row>
    <row r="101" spans="1:9" x14ac:dyDescent="0.25">
      <c r="A101" s="204" t="s">
        <v>413</v>
      </c>
      <c r="B101" s="205" t="s">
        <v>2834</v>
      </c>
      <c r="C101" s="206" t="s">
        <v>189</v>
      </c>
      <c r="D101" s="206">
        <v>576.34</v>
      </c>
      <c r="E101" s="158">
        <f ca="1">OFFSET(INDEX(Composições!A:J,MATCH(Orçamentária!A101,Composições!A:A,0),10),2,0)</f>
        <v>3.6828839999999996</v>
      </c>
      <c r="F101" s="159">
        <f t="shared" ca="1" si="3"/>
        <v>2122.5933645599998</v>
      </c>
      <c r="G101" s="160">
        <f>BDI!$C$17</f>
        <v>0.24479999999999999</v>
      </c>
      <c r="H101" s="161">
        <f t="shared" ca="1" si="4"/>
        <v>4.58</v>
      </c>
      <c r="I101" s="202">
        <f t="shared" ca="1" si="5"/>
        <v>2639.64</v>
      </c>
    </row>
    <row r="102" spans="1:9" x14ac:dyDescent="0.25">
      <c r="A102" s="204" t="s">
        <v>417</v>
      </c>
      <c r="B102" s="205" t="s">
        <v>2835</v>
      </c>
      <c r="C102" s="206" t="s">
        <v>189</v>
      </c>
      <c r="D102" s="206">
        <v>100</v>
      </c>
      <c r="E102" s="158">
        <f ca="1">OFFSET(INDEX(Composições!A:J,MATCH(Orçamentária!A102,Composições!A:A,0),10),2,0)</f>
        <v>12.475870599999999</v>
      </c>
      <c r="F102" s="159">
        <f t="shared" ca="1" si="3"/>
        <v>1247.5870599999998</v>
      </c>
      <c r="G102" s="160">
        <f>BDI!$C$17</f>
        <v>0.24479999999999999</v>
      </c>
      <c r="H102" s="161">
        <f t="shared" ca="1" si="4"/>
        <v>15.53</v>
      </c>
      <c r="I102" s="199">
        <f t="shared" ca="1" si="5"/>
        <v>1553</v>
      </c>
    </row>
    <row r="103" spans="1:9" x14ac:dyDescent="0.25">
      <c r="A103" s="204" t="s">
        <v>424</v>
      </c>
      <c r="B103" s="205" t="s">
        <v>2836</v>
      </c>
      <c r="C103" s="206" t="s">
        <v>189</v>
      </c>
      <c r="D103" s="206">
        <v>38.94</v>
      </c>
      <c r="E103" s="158">
        <f ca="1">OFFSET(INDEX(Composições!A:J,MATCH(Orçamentária!A103,Composições!A:A,0),10),2,0)</f>
        <v>14.763265999999998</v>
      </c>
      <c r="F103" s="159">
        <f t="shared" ca="1" si="3"/>
        <v>574.88157803999991</v>
      </c>
      <c r="G103" s="160">
        <f>BDI!$C$17</f>
        <v>0.24479999999999999</v>
      </c>
      <c r="H103" s="161">
        <f t="shared" ca="1" si="4"/>
        <v>18.38</v>
      </c>
      <c r="I103" s="199">
        <f t="shared" ca="1" si="5"/>
        <v>715.72</v>
      </c>
    </row>
    <row r="104" spans="1:9" x14ac:dyDescent="0.25">
      <c r="A104" s="204" t="s">
        <v>431</v>
      </c>
      <c r="B104" s="205" t="s">
        <v>2837</v>
      </c>
      <c r="C104" s="206" t="s">
        <v>189</v>
      </c>
      <c r="D104" s="206">
        <v>145.15</v>
      </c>
      <c r="E104" s="158">
        <f ca="1">OFFSET(INDEX(Composições!A:J,MATCH(Orçamentária!A104,Composições!A:A,0),10),2,0)</f>
        <v>11.381047500000001</v>
      </c>
      <c r="F104" s="159">
        <f t="shared" ca="1" si="3"/>
        <v>1651.9590446250002</v>
      </c>
      <c r="G104" s="160">
        <f>BDI!$C$17</f>
        <v>0.24479999999999999</v>
      </c>
      <c r="H104" s="161">
        <f t="shared" ca="1" si="4"/>
        <v>14.17</v>
      </c>
      <c r="I104" s="199">
        <f t="shared" ca="1" si="5"/>
        <v>2056.7800000000002</v>
      </c>
    </row>
    <row r="105" spans="1:9" x14ac:dyDescent="0.25">
      <c r="A105" s="204" t="s">
        <v>436</v>
      </c>
      <c r="B105" s="205" t="s">
        <v>2838</v>
      </c>
      <c r="C105" s="206" t="s">
        <v>189</v>
      </c>
      <c r="D105" s="206">
        <v>174.18</v>
      </c>
      <c r="E105" s="158">
        <f ca="1">OFFSET(INDEX(Composições!A:J,MATCH(Orçamentária!A105,Composições!A:A,0),10),2,0)</f>
        <v>11.308078</v>
      </c>
      <c r="F105" s="159">
        <f t="shared" ca="1" si="3"/>
        <v>1969.64102604</v>
      </c>
      <c r="G105" s="160">
        <f>BDI!$C$17</f>
        <v>0.24479999999999999</v>
      </c>
      <c r="H105" s="161">
        <f t="shared" ca="1" si="4"/>
        <v>14.08</v>
      </c>
      <c r="I105" s="199">
        <f t="shared" ca="1" si="5"/>
        <v>2452.4499999999998</v>
      </c>
    </row>
    <row r="106" spans="1:9" x14ac:dyDescent="0.25">
      <c r="A106" s="204" t="s">
        <v>440</v>
      </c>
      <c r="B106" s="205" t="s">
        <v>2839</v>
      </c>
      <c r="C106" s="206" t="s">
        <v>189</v>
      </c>
      <c r="D106" s="206">
        <v>14.55</v>
      </c>
      <c r="E106" s="158">
        <f ca="1">OFFSET(INDEX(Composições!A:J,MATCH(Orçamentária!A106,Composições!A:A,0),10),2,0)</f>
        <v>15.621849999999998</v>
      </c>
      <c r="F106" s="159">
        <f t="shared" ca="1" si="3"/>
        <v>227.29791749999998</v>
      </c>
      <c r="G106" s="160">
        <f>BDI!$C$17</f>
        <v>0.24479999999999999</v>
      </c>
      <c r="H106" s="161">
        <f t="shared" ca="1" si="4"/>
        <v>19.45</v>
      </c>
      <c r="I106" s="199">
        <f t="shared" ca="1" si="5"/>
        <v>283</v>
      </c>
    </row>
    <row r="107" spans="1:9" x14ac:dyDescent="0.25">
      <c r="A107" s="204" t="s">
        <v>444</v>
      </c>
      <c r="B107" s="205" t="s">
        <v>2840</v>
      </c>
      <c r="C107" s="206" t="s">
        <v>189</v>
      </c>
      <c r="D107" s="206">
        <v>16.579999999999998</v>
      </c>
      <c r="E107" s="158">
        <f ca="1">OFFSET(INDEX(Composições!A:J,MATCH(Orçamentária!A107,Composições!A:A,0),10),2,0)</f>
        <v>16.407399999999999</v>
      </c>
      <c r="F107" s="159">
        <f t="shared" ca="1" si="3"/>
        <v>272.03469199999995</v>
      </c>
      <c r="G107" s="160">
        <f>BDI!$C$17</f>
        <v>0.24479999999999999</v>
      </c>
      <c r="H107" s="161">
        <f t="shared" ca="1" si="4"/>
        <v>20.420000000000002</v>
      </c>
      <c r="I107" s="199">
        <f t="shared" ca="1" si="5"/>
        <v>338.56</v>
      </c>
    </row>
    <row r="108" spans="1:9" x14ac:dyDescent="0.25">
      <c r="A108" s="204" t="s">
        <v>448</v>
      </c>
      <c r="B108" s="205" t="s">
        <v>2841</v>
      </c>
      <c r="C108" s="206" t="s">
        <v>189</v>
      </c>
      <c r="D108" s="206">
        <v>64</v>
      </c>
      <c r="E108" s="158">
        <f ca="1">OFFSET(INDEX(Composições!A:J,MATCH(Orçamentária!A108,Composições!A:A,0),10),2,0)</f>
        <v>12.745826999999998</v>
      </c>
      <c r="F108" s="159">
        <f t="shared" ca="1" si="3"/>
        <v>815.7329279999999</v>
      </c>
      <c r="G108" s="160">
        <f>BDI!$C$17</f>
        <v>0.24479999999999999</v>
      </c>
      <c r="H108" s="161">
        <f t="shared" ca="1" si="4"/>
        <v>15.87</v>
      </c>
      <c r="I108" s="199">
        <f t="shared" ca="1" si="5"/>
        <v>1015.68</v>
      </c>
    </row>
    <row r="109" spans="1:9" x14ac:dyDescent="0.25">
      <c r="A109" s="204" t="s">
        <v>450</v>
      </c>
      <c r="B109" s="205" t="s">
        <v>2842</v>
      </c>
      <c r="C109" s="206" t="s">
        <v>189</v>
      </c>
      <c r="D109" s="206">
        <v>82</v>
      </c>
      <c r="E109" s="158">
        <f ca="1">OFFSET(INDEX(Composições!A:J,MATCH(Orçamentária!A109,Composições!A:A,0),10),2,0)</f>
        <v>66.515010000000004</v>
      </c>
      <c r="F109" s="159">
        <f t="shared" ca="1" si="3"/>
        <v>5454.2308200000007</v>
      </c>
      <c r="G109" s="160">
        <f>BDI!$C$17</f>
        <v>0.24479999999999999</v>
      </c>
      <c r="H109" s="161">
        <f t="shared" ca="1" si="4"/>
        <v>82.8</v>
      </c>
      <c r="I109" s="199">
        <f t="shared" ca="1" si="5"/>
        <v>6789.6</v>
      </c>
    </row>
    <row r="110" spans="1:9" hidden="1" x14ac:dyDescent="0.25">
      <c r="A110" s="102" t="s">
        <v>459</v>
      </c>
      <c r="B110" s="103" t="s">
        <v>2843</v>
      </c>
      <c r="C110" s="104" t="s">
        <v>189</v>
      </c>
      <c r="D110" s="104">
        <v>0</v>
      </c>
      <c r="E110" s="158">
        <f ca="1">OFFSET(INDEX(Composições!A:J,MATCH(Orçamentária!A110,Composições!A:A,0),10),2,0)</f>
        <v>40.387365071749997</v>
      </c>
      <c r="F110" s="159">
        <f t="shared" ca="1" si="3"/>
        <v>0</v>
      </c>
      <c r="G110" s="160" t="e">
        <f>IF(A110&lt;&gt;"",IF(AND(#REF!="Padrão",$H$4=#REF!),BDI!$B$17,IF(AND(#REF!="Padrão",$H$4=#REF!),BDI!$C$17,IF(AND(#REF!="Diferenciado",$H$4=#REF!),BDI!$G$17,IF(AND(#REF!="Diferenciado",$H$4=#REF!),BDI!$H$17,IF(#REF!="ZERO",0))))),"")</f>
        <v>#REF!</v>
      </c>
      <c r="H110" s="161" t="e">
        <f t="shared" ca="1" si="4"/>
        <v>#REF!</v>
      </c>
      <c r="I110" s="198" t="e">
        <f t="shared" ca="1" si="5"/>
        <v>#REF!</v>
      </c>
    </row>
    <row r="111" spans="1:9" x14ac:dyDescent="0.25">
      <c r="A111" s="204" t="s">
        <v>466</v>
      </c>
      <c r="B111" s="205" t="s">
        <v>2844</v>
      </c>
      <c r="C111" s="206" t="s">
        <v>189</v>
      </c>
      <c r="D111" s="206">
        <v>54.04</v>
      </c>
      <c r="E111" s="158">
        <f ca="1">OFFSET(INDEX(Composições!A:J,MATCH(Orçamentária!A111,Composições!A:A,0),10),2,0)</f>
        <v>27.849669287249995</v>
      </c>
      <c r="F111" s="159">
        <f t="shared" ca="1" si="3"/>
        <v>1504.9961282829897</v>
      </c>
      <c r="G111" s="160">
        <f>BDI!$C$17</f>
        <v>0.24479999999999999</v>
      </c>
      <c r="H111" s="161">
        <f t="shared" ca="1" si="4"/>
        <v>34.67</v>
      </c>
      <c r="I111" s="202">
        <f t="shared" ca="1" si="5"/>
        <v>1873.57</v>
      </c>
    </row>
    <row r="112" spans="1:9" hidden="1" x14ac:dyDescent="0.25">
      <c r="A112" s="102" t="s">
        <v>469</v>
      </c>
      <c r="B112" s="103" t="s">
        <v>2845</v>
      </c>
      <c r="C112" s="104" t="s">
        <v>189</v>
      </c>
      <c r="D112" s="104">
        <v>0</v>
      </c>
      <c r="E112" s="158">
        <f ca="1">OFFSET(INDEX(Composições!A:J,MATCH(Orçamentária!A112,Composições!A:A,0),10),2,0)</f>
        <v>326.82127799999995</v>
      </c>
      <c r="F112" s="159">
        <f t="shared" ca="1" si="3"/>
        <v>0</v>
      </c>
      <c r="G112" s="160" t="e">
        <f>IF(A112&lt;&gt;"",IF(AND(#REF!="Padrão",$H$4=#REF!),BDI!$B$17,IF(AND(#REF!="Padrão",$H$4=#REF!),BDI!$C$17,IF(AND(#REF!="Diferenciado",$H$4=#REF!),BDI!$G$17,IF(AND(#REF!="Diferenciado",$H$4=#REF!),BDI!$H$17,IF(#REF!="ZERO",0))))),"")</f>
        <v>#REF!</v>
      </c>
      <c r="H112" s="161" t="e">
        <f t="shared" ca="1" si="4"/>
        <v>#REF!</v>
      </c>
      <c r="I112" s="159" t="e">
        <f t="shared" ca="1" si="5"/>
        <v>#REF!</v>
      </c>
    </row>
    <row r="113" spans="1:9" hidden="1" x14ac:dyDescent="0.25">
      <c r="A113" s="102" t="s">
        <v>477</v>
      </c>
      <c r="B113" s="103" t="s">
        <v>2846</v>
      </c>
      <c r="C113" s="104" t="s">
        <v>189</v>
      </c>
      <c r="D113" s="104">
        <v>0</v>
      </c>
      <c r="E113" s="158">
        <f ca="1">OFFSET(INDEX(Composições!A:J,MATCH(Orçamentária!A113,Composições!A:A,0),10),2,0)</f>
        <v>811.83347700000002</v>
      </c>
      <c r="F113" s="159">
        <f t="shared" ca="1" si="3"/>
        <v>0</v>
      </c>
      <c r="G113" s="160" t="e">
        <f>IF(A113&lt;&gt;"",IF(AND(#REF!="Padrão",$H$4=#REF!),BDI!$B$17,IF(AND(#REF!="Padrão",$H$4=#REF!),BDI!$C$17,IF(AND(#REF!="Diferenciado",$H$4=#REF!),BDI!$G$17,IF(AND(#REF!="Diferenciado",$H$4=#REF!),BDI!$H$17,IF(#REF!="ZERO",0))))),"")</f>
        <v>#REF!</v>
      </c>
      <c r="H113" s="161" t="e">
        <f t="shared" ca="1" si="4"/>
        <v>#REF!</v>
      </c>
      <c r="I113" s="198" t="e">
        <f t="shared" ca="1" si="5"/>
        <v>#REF!</v>
      </c>
    </row>
    <row r="114" spans="1:9" x14ac:dyDescent="0.25">
      <c r="A114" s="204" t="s">
        <v>481</v>
      </c>
      <c r="B114" s="205" t="s">
        <v>2847</v>
      </c>
      <c r="C114" s="206" t="s">
        <v>189</v>
      </c>
      <c r="D114" s="206">
        <v>0.47</v>
      </c>
      <c r="E114" s="158">
        <f ca="1">OFFSET(INDEX(Composições!A:J,MATCH(Orçamentária!A114,Composições!A:A,0),10),2,0)</f>
        <v>404.59527909999997</v>
      </c>
      <c r="F114" s="159">
        <f t="shared" ca="1" si="3"/>
        <v>190.15978117699999</v>
      </c>
      <c r="G114" s="160">
        <f>BDI!$C$17</f>
        <v>0.24479999999999999</v>
      </c>
      <c r="H114" s="161">
        <f t="shared" ca="1" si="4"/>
        <v>503.64</v>
      </c>
      <c r="I114" s="202">
        <f t="shared" ca="1" si="5"/>
        <v>236.71</v>
      </c>
    </row>
    <row r="115" spans="1:9" hidden="1" x14ac:dyDescent="0.25">
      <c r="A115" s="102" t="s">
        <v>485</v>
      </c>
      <c r="B115" s="103" t="s">
        <v>2848</v>
      </c>
      <c r="C115" s="104" t="s">
        <v>189</v>
      </c>
      <c r="D115" s="104">
        <v>0</v>
      </c>
      <c r="E115" s="158">
        <f ca="1">OFFSET(INDEX(Composições!A:J,MATCH(Orçamentária!A115,Composições!A:A,0),10),2,0)</f>
        <v>455.22167799999994</v>
      </c>
      <c r="F115" s="159">
        <f t="shared" ca="1" si="3"/>
        <v>0</v>
      </c>
      <c r="G115" s="160" t="e">
        <f>IF(A115&lt;&gt;"",IF(AND(#REF!="Padrão",$H$4=#REF!),BDI!$B$17,IF(AND(#REF!="Padrão",$H$4=#REF!),BDI!$C$17,IF(AND(#REF!="Diferenciado",$H$4=#REF!),BDI!$G$17,IF(AND(#REF!="Diferenciado",$H$4=#REF!),BDI!$H$17,IF(#REF!="ZERO",0))))),"")</f>
        <v>#REF!</v>
      </c>
      <c r="H115" s="161" t="e">
        <f t="shared" ca="1" si="4"/>
        <v>#REF!</v>
      </c>
      <c r="I115" s="159" t="e">
        <f t="shared" ca="1" si="5"/>
        <v>#REF!</v>
      </c>
    </row>
    <row r="116" spans="1:9" hidden="1" x14ac:dyDescent="0.25">
      <c r="A116" s="102" t="s">
        <v>487</v>
      </c>
      <c r="B116" s="103" t="s">
        <v>2849</v>
      </c>
      <c r="C116" s="104" t="s">
        <v>189</v>
      </c>
      <c r="D116" s="104">
        <v>0</v>
      </c>
      <c r="E116" s="158">
        <f ca="1">OFFSET(INDEX(Composições!A:J,MATCH(Orçamentária!A116,Composições!A:A,0),10),2,0)</f>
        <v>82.201295999999999</v>
      </c>
      <c r="F116" s="159">
        <f t="shared" ca="1" si="3"/>
        <v>0</v>
      </c>
      <c r="G116" s="160" t="e">
        <f>IF(A116&lt;&gt;"",IF(AND(#REF!="Padrão",$H$4=#REF!),BDI!$B$17,IF(AND(#REF!="Padrão",$H$4=#REF!),BDI!$C$17,IF(AND(#REF!="Diferenciado",$H$4=#REF!),BDI!$G$17,IF(AND(#REF!="Diferenciado",$H$4=#REF!),BDI!$H$17,IF(#REF!="ZERO",0))))),"")</f>
        <v>#REF!</v>
      </c>
      <c r="H116" s="161" t="e">
        <f t="shared" ca="1" si="4"/>
        <v>#REF!</v>
      </c>
      <c r="I116" s="159" t="e">
        <f t="shared" ca="1" si="5"/>
        <v>#REF!</v>
      </c>
    </row>
    <row r="117" spans="1:9" hidden="1" x14ac:dyDescent="0.25">
      <c r="A117" s="102" t="s">
        <v>489</v>
      </c>
      <c r="B117" s="103" t="s">
        <v>2850</v>
      </c>
      <c r="C117" s="104" t="s">
        <v>189</v>
      </c>
      <c r="D117" s="104">
        <v>0</v>
      </c>
      <c r="E117" s="158">
        <f ca="1">OFFSET(INDEX(Composições!A:J,MATCH(Orçamentária!A117,Composições!A:A,0),10),2,0)</f>
        <v>94.727063099999995</v>
      </c>
      <c r="F117" s="159">
        <f t="shared" ca="1" si="3"/>
        <v>0</v>
      </c>
      <c r="G117" s="160" t="e">
        <f>IF(A117&lt;&gt;"",IF(AND(#REF!="Padrão",$H$4=#REF!),BDI!$B$17,IF(AND(#REF!="Padrão",$H$4=#REF!),BDI!$C$17,IF(AND(#REF!="Diferenciado",$H$4=#REF!),BDI!$G$17,IF(AND(#REF!="Diferenciado",$H$4=#REF!),BDI!$H$17,IF(#REF!="ZERO",0))))),"")</f>
        <v>#REF!</v>
      </c>
      <c r="H117" s="161" t="e">
        <f t="shared" ca="1" si="4"/>
        <v>#REF!</v>
      </c>
      <c r="I117" s="159" t="e">
        <f t="shared" ca="1" si="5"/>
        <v>#REF!</v>
      </c>
    </row>
    <row r="118" spans="1:9" hidden="1" x14ac:dyDescent="0.25">
      <c r="A118" s="102" t="s">
        <v>491</v>
      </c>
      <c r="B118" s="103" t="s">
        <v>2851</v>
      </c>
      <c r="C118" s="104" t="s">
        <v>184</v>
      </c>
      <c r="D118" s="104">
        <v>0</v>
      </c>
      <c r="E118" s="158">
        <f ca="1">OFFSET(INDEX(Composições!A:J,MATCH(Orçamentária!A118,Composições!A:A,0),10),2,0)</f>
        <v>6.5540500000000002</v>
      </c>
      <c r="F118" s="159">
        <f t="shared" ca="1" si="3"/>
        <v>0</v>
      </c>
      <c r="G118" s="160" t="e">
        <f>IF(A118&lt;&gt;"",IF(AND(#REF!="Padrão",$H$4=#REF!),BDI!$B$17,IF(AND(#REF!="Padrão",$H$4=#REF!),BDI!$C$17,IF(AND(#REF!="Diferenciado",$H$4=#REF!),BDI!$G$17,IF(AND(#REF!="Diferenciado",$H$4=#REF!),BDI!$H$17,IF(#REF!="ZERO",0))))),"")</f>
        <v>#REF!</v>
      </c>
      <c r="H118" s="161" t="e">
        <f t="shared" ca="1" si="4"/>
        <v>#REF!</v>
      </c>
      <c r="I118" s="159" t="e">
        <f t="shared" ca="1" si="5"/>
        <v>#REF!</v>
      </c>
    </row>
    <row r="119" spans="1:9" hidden="1" x14ac:dyDescent="0.25">
      <c r="A119" s="102" t="s">
        <v>496</v>
      </c>
      <c r="B119" s="103" t="s">
        <v>2852</v>
      </c>
      <c r="C119" s="104" t="s">
        <v>189</v>
      </c>
      <c r="D119" s="104">
        <v>0</v>
      </c>
      <c r="E119" s="158">
        <f ca="1">OFFSET(INDEX(Composições!A:J,MATCH(Orçamentária!A119,Composições!A:A,0),10),2,0)</f>
        <v>37.923277999999996</v>
      </c>
      <c r="F119" s="159">
        <f t="shared" ca="1" si="3"/>
        <v>0</v>
      </c>
      <c r="G119" s="160" t="e">
        <f>IF(A119&lt;&gt;"",IF(AND(#REF!="Padrão",$H$4=#REF!),BDI!$B$17,IF(AND(#REF!="Padrão",$H$4=#REF!),BDI!$C$17,IF(AND(#REF!="Diferenciado",$H$4=#REF!),BDI!$G$17,IF(AND(#REF!="Diferenciado",$H$4=#REF!),BDI!$H$17,IF(#REF!="ZERO",0))))),"")</f>
        <v>#REF!</v>
      </c>
      <c r="H119" s="161" t="e">
        <f t="shared" ca="1" si="4"/>
        <v>#REF!</v>
      </c>
      <c r="I119" s="159" t="e">
        <f t="shared" ca="1" si="5"/>
        <v>#REF!</v>
      </c>
    </row>
    <row r="120" spans="1:9" hidden="1" x14ac:dyDescent="0.25">
      <c r="A120" s="102" t="s">
        <v>498</v>
      </c>
      <c r="B120" s="103" t="s">
        <v>2853</v>
      </c>
      <c r="C120" s="104" t="s">
        <v>189</v>
      </c>
      <c r="D120" s="104">
        <v>0</v>
      </c>
      <c r="E120" s="158">
        <f ca="1">OFFSET(INDEX(Composições!A:J,MATCH(Orçamentária!A120,Composições!A:A,0),10),2,0)</f>
        <v>37.923277999999996</v>
      </c>
      <c r="F120" s="159">
        <f t="shared" ca="1" si="3"/>
        <v>0</v>
      </c>
      <c r="G120" s="160" t="e">
        <f>IF(A120&lt;&gt;"",IF(AND(#REF!="Padrão",$H$4=#REF!),BDI!$B$17,IF(AND(#REF!="Padrão",$H$4=#REF!),BDI!$C$17,IF(AND(#REF!="Diferenciado",$H$4=#REF!),BDI!$G$17,IF(AND(#REF!="Diferenciado",$H$4=#REF!),BDI!$H$17,IF(#REF!="ZERO",0))))),"")</f>
        <v>#REF!</v>
      </c>
      <c r="H120" s="161" t="e">
        <f t="shared" ca="1" si="4"/>
        <v>#REF!</v>
      </c>
      <c r="I120" s="159" t="e">
        <f t="shared" ca="1" si="5"/>
        <v>#REF!</v>
      </c>
    </row>
    <row r="121" spans="1:9" hidden="1" x14ac:dyDescent="0.25">
      <c r="A121" s="102" t="s">
        <v>502</v>
      </c>
      <c r="B121" s="103" t="s">
        <v>2854</v>
      </c>
      <c r="C121" s="104" t="s">
        <v>184</v>
      </c>
      <c r="D121" s="104">
        <v>0</v>
      </c>
      <c r="E121" s="158">
        <f ca="1">OFFSET(INDEX(Composições!A:J,MATCH(Orçamentária!A121,Composições!A:A,0),10),2,0)</f>
        <v>16.466255</v>
      </c>
      <c r="F121" s="159">
        <f t="shared" ca="1" si="3"/>
        <v>0</v>
      </c>
      <c r="G121" s="160" t="e">
        <f>IF(A121&lt;&gt;"",IF(AND(#REF!="Padrão",$H$4=#REF!),BDI!$B$17,IF(AND(#REF!="Padrão",$H$4=#REF!),BDI!$C$17,IF(AND(#REF!="Diferenciado",$H$4=#REF!),BDI!$G$17,IF(AND(#REF!="Diferenciado",$H$4=#REF!),BDI!$H$17,IF(#REF!="ZERO",0))))),"")</f>
        <v>#REF!</v>
      </c>
      <c r="H121" s="161" t="e">
        <f t="shared" ca="1" si="4"/>
        <v>#REF!</v>
      </c>
      <c r="I121" s="159" t="e">
        <f t="shared" ca="1" si="5"/>
        <v>#REF!</v>
      </c>
    </row>
    <row r="122" spans="1:9" hidden="1" x14ac:dyDescent="0.25">
      <c r="A122" s="102" t="s">
        <v>506</v>
      </c>
      <c r="B122" s="103" t="s">
        <v>2855</v>
      </c>
      <c r="C122" s="104" t="s">
        <v>184</v>
      </c>
      <c r="D122" s="104">
        <v>0</v>
      </c>
      <c r="E122" s="158">
        <f ca="1">OFFSET(INDEX(Composições!A:J,MATCH(Orçamentária!A122,Composições!A:A,0),10),2,0)</f>
        <v>32.186</v>
      </c>
      <c r="F122" s="159">
        <f t="shared" ca="1" si="3"/>
        <v>0</v>
      </c>
      <c r="G122" s="160" t="e">
        <f>IF(A122&lt;&gt;"",IF(AND(#REF!="Padrão",$H$4=#REF!),BDI!$B$17,IF(AND(#REF!="Padrão",$H$4=#REF!),BDI!$C$17,IF(AND(#REF!="Diferenciado",$H$4=#REF!),BDI!$G$17,IF(AND(#REF!="Diferenciado",$H$4=#REF!),BDI!$H$17,IF(#REF!="ZERO",0))))),"")</f>
        <v>#REF!</v>
      </c>
      <c r="H122" s="161" t="e">
        <f t="shared" ca="1" si="4"/>
        <v>#REF!</v>
      </c>
      <c r="I122" s="198" t="e">
        <f t="shared" ca="1" si="5"/>
        <v>#REF!</v>
      </c>
    </row>
    <row r="123" spans="1:9" x14ac:dyDescent="0.25">
      <c r="A123" s="204" t="s">
        <v>507</v>
      </c>
      <c r="B123" s="205" t="s">
        <v>2856</v>
      </c>
      <c r="C123" s="206" t="s">
        <v>184</v>
      </c>
      <c r="D123" s="206">
        <v>2.8</v>
      </c>
      <c r="E123" s="158">
        <f ca="1">OFFSET(INDEX(Composições!A:J,MATCH(Orçamentária!A123,Composições!A:A,0),10),2,0)</f>
        <v>28.162749999999999</v>
      </c>
      <c r="F123" s="159">
        <f t="shared" ca="1" si="3"/>
        <v>78.855699999999999</v>
      </c>
      <c r="G123" s="160">
        <f>BDI!$C$17</f>
        <v>0.24479999999999999</v>
      </c>
      <c r="H123" s="161">
        <f t="shared" ca="1" si="4"/>
        <v>35.06</v>
      </c>
      <c r="I123" s="202">
        <f t="shared" ca="1" si="5"/>
        <v>98.17</v>
      </c>
    </row>
    <row r="124" spans="1:9" hidden="1" x14ac:dyDescent="0.25">
      <c r="A124" s="102" t="s">
        <v>508</v>
      </c>
      <c r="B124" s="103" t="s">
        <v>2857</v>
      </c>
      <c r="C124" s="104" t="s">
        <v>184</v>
      </c>
      <c r="D124" s="104">
        <v>0</v>
      </c>
      <c r="E124" s="158">
        <f ca="1">OFFSET(INDEX(Composições!A:J,MATCH(Orçamentária!A124,Composições!A:A,0),10),2,0)</f>
        <v>16.093</v>
      </c>
      <c r="F124" s="159">
        <f t="shared" ca="1" si="3"/>
        <v>0</v>
      </c>
      <c r="G124" s="160" t="e">
        <f>IF(A124&lt;&gt;"",IF(AND(#REF!="Padrão",$H$4=#REF!),BDI!$B$17,IF(AND(#REF!="Padrão",$H$4=#REF!),BDI!$C$17,IF(AND(#REF!="Diferenciado",$H$4=#REF!),BDI!$G$17,IF(AND(#REF!="Diferenciado",$H$4=#REF!),BDI!$H$17,IF(#REF!="ZERO",0))))),"")</f>
        <v>#REF!</v>
      </c>
      <c r="H124" s="161" t="e">
        <f t="shared" ca="1" si="4"/>
        <v>#REF!</v>
      </c>
      <c r="I124" s="159" t="e">
        <f t="shared" ca="1" si="5"/>
        <v>#REF!</v>
      </c>
    </row>
    <row r="125" spans="1:9" hidden="1" x14ac:dyDescent="0.25">
      <c r="A125" s="102" t="s">
        <v>509</v>
      </c>
      <c r="B125" s="103" t="s">
        <v>2858</v>
      </c>
      <c r="C125" s="104" t="s">
        <v>184</v>
      </c>
      <c r="D125" s="104">
        <v>0</v>
      </c>
      <c r="E125" s="158">
        <f ca="1">OFFSET(INDEX(Composições!A:J,MATCH(Orçamentária!A125,Composições!A:A,0),10),2,0)</f>
        <v>20.116250000000001</v>
      </c>
      <c r="F125" s="159">
        <f t="shared" ca="1" si="3"/>
        <v>0</v>
      </c>
      <c r="G125" s="160" t="e">
        <f>IF(A125&lt;&gt;"",IF(AND(#REF!="Padrão",$H$4=#REF!),BDI!$B$17,IF(AND(#REF!="Padrão",$H$4=#REF!),BDI!$C$17,IF(AND(#REF!="Diferenciado",$H$4=#REF!),BDI!$G$17,IF(AND(#REF!="Diferenciado",$H$4=#REF!),BDI!$H$17,IF(#REF!="ZERO",0))))),"")</f>
        <v>#REF!</v>
      </c>
      <c r="H125" s="161" t="e">
        <f t="shared" ca="1" si="4"/>
        <v>#REF!</v>
      </c>
      <c r="I125" s="159" t="e">
        <f t="shared" ca="1" si="5"/>
        <v>#REF!</v>
      </c>
    </row>
    <row r="126" spans="1:9" hidden="1" x14ac:dyDescent="0.25">
      <c r="A126" s="102" t="s">
        <v>510</v>
      </c>
      <c r="B126" s="103" t="s">
        <v>2859</v>
      </c>
      <c r="C126" s="104" t="s">
        <v>32</v>
      </c>
      <c r="D126" s="104">
        <v>0</v>
      </c>
      <c r="E126" s="158">
        <f ca="1">OFFSET(INDEX(Composições!A:J,MATCH(Orçamentária!A126,Composições!A:A,0),10),2,0)</f>
        <v>70.898499999999999</v>
      </c>
      <c r="F126" s="159">
        <f t="shared" ca="1" si="3"/>
        <v>0</v>
      </c>
      <c r="G126" s="160" t="e">
        <f>IF(A126&lt;&gt;"",IF(AND(#REF!="Padrão",$H$4=#REF!),BDI!$B$17,IF(AND(#REF!="Padrão",$H$4=#REF!),BDI!$C$17,IF(AND(#REF!="Diferenciado",$H$4=#REF!),BDI!$G$17,IF(AND(#REF!="Diferenciado",$H$4=#REF!),BDI!$H$17,IF(#REF!="ZERO",0))))),"")</f>
        <v>#REF!</v>
      </c>
      <c r="H126" s="161" t="e">
        <f t="shared" ca="1" si="4"/>
        <v>#REF!</v>
      </c>
      <c r="I126" s="159" t="e">
        <f t="shared" ca="1" si="5"/>
        <v>#REF!</v>
      </c>
    </row>
    <row r="127" spans="1:9" ht="25.5" hidden="1" x14ac:dyDescent="0.25">
      <c r="A127" s="102" t="s">
        <v>513</v>
      </c>
      <c r="B127" s="103" t="s">
        <v>2860</v>
      </c>
      <c r="C127" s="104" t="s">
        <v>32</v>
      </c>
      <c r="D127" s="104">
        <v>0</v>
      </c>
      <c r="E127" s="158">
        <f ca="1">OFFSET(INDEX(Composições!A:J,MATCH(Orçamentária!A127,Composições!A:A,0),10),2,0)</f>
        <v>10.6305</v>
      </c>
      <c r="F127" s="159">
        <f t="shared" ca="1" si="3"/>
        <v>0</v>
      </c>
      <c r="G127" s="160" t="e">
        <f>IF(A127&lt;&gt;"",IF(AND(#REF!="Padrão",$H$4=#REF!),BDI!$B$17,IF(AND(#REF!="Padrão",$H$4=#REF!),BDI!$C$17,IF(AND(#REF!="Diferenciado",$H$4=#REF!),BDI!$G$17,IF(AND(#REF!="Diferenciado",$H$4=#REF!),BDI!$H$17,IF(#REF!="ZERO",0))))),"")</f>
        <v>#REF!</v>
      </c>
      <c r="H127" s="161" t="e">
        <f t="shared" ca="1" si="4"/>
        <v>#REF!</v>
      </c>
      <c r="I127" s="159" t="e">
        <f t="shared" ca="1" si="5"/>
        <v>#REF!</v>
      </c>
    </row>
    <row r="128" spans="1:9" hidden="1" x14ac:dyDescent="0.25">
      <c r="A128" s="102" t="s">
        <v>516</v>
      </c>
      <c r="B128" s="103" t="s">
        <v>2861</v>
      </c>
      <c r="C128" s="104" t="s">
        <v>189</v>
      </c>
      <c r="D128" s="104">
        <v>0</v>
      </c>
      <c r="E128" s="158">
        <f ca="1">OFFSET(INDEX(Composições!A:J,MATCH(Orçamentária!A128,Composições!A:A,0),10),2,0)</f>
        <v>395.29472920000006</v>
      </c>
      <c r="F128" s="159">
        <f t="shared" ca="1" si="3"/>
        <v>0</v>
      </c>
      <c r="G128" s="160" t="e">
        <f>IF(A128&lt;&gt;"",IF(AND(#REF!="Padrão",$H$4=#REF!),BDI!$B$17,IF(AND(#REF!="Padrão",$H$4=#REF!),BDI!$C$17,IF(AND(#REF!="Diferenciado",$H$4=#REF!),BDI!$G$17,IF(AND(#REF!="Diferenciado",$H$4=#REF!),BDI!$H$17,IF(#REF!="ZERO",0))))),"")</f>
        <v>#REF!</v>
      </c>
      <c r="H128" s="161" t="e">
        <f t="shared" ca="1" si="4"/>
        <v>#REF!</v>
      </c>
      <c r="I128" s="198" t="e">
        <f t="shared" ca="1" si="5"/>
        <v>#REF!</v>
      </c>
    </row>
    <row r="129" spans="1:9" x14ac:dyDescent="0.25">
      <c r="A129" s="204" t="s">
        <v>518</v>
      </c>
      <c r="B129" s="205" t="s">
        <v>2862</v>
      </c>
      <c r="C129" s="206" t="s">
        <v>189</v>
      </c>
      <c r="D129" s="206">
        <v>3.87</v>
      </c>
      <c r="E129" s="158">
        <f ca="1">OFFSET(INDEX(Composições!A:J,MATCH(Orçamentária!A129,Composições!A:A,0),10),2,0)</f>
        <v>320.74000420000004</v>
      </c>
      <c r="F129" s="159">
        <f t="shared" ca="1" si="3"/>
        <v>1241.2638162540002</v>
      </c>
      <c r="G129" s="160">
        <f>BDI!$C$17</f>
        <v>0.24479999999999999</v>
      </c>
      <c r="H129" s="161">
        <f t="shared" ca="1" si="4"/>
        <v>399.26</v>
      </c>
      <c r="I129" s="202">
        <f t="shared" ca="1" si="5"/>
        <v>1545.14</v>
      </c>
    </row>
    <row r="130" spans="1:9" hidden="1" x14ac:dyDescent="0.25">
      <c r="A130" s="102" t="s">
        <v>526</v>
      </c>
      <c r="B130" s="103" t="s">
        <v>2863</v>
      </c>
      <c r="C130" s="104" t="s">
        <v>189</v>
      </c>
      <c r="D130" s="104">
        <v>0</v>
      </c>
      <c r="E130" s="158">
        <f ca="1">OFFSET(INDEX(Composições!A:J,MATCH(Orçamentária!A130,Composições!A:A,0),10),2,0)</f>
        <v>665.16001071157507</v>
      </c>
      <c r="F130" s="159">
        <f t="shared" ca="1" si="3"/>
        <v>0</v>
      </c>
      <c r="G130" s="160" t="e">
        <f>IF(A130&lt;&gt;"",IF(AND(#REF!="Padrão",$H$4=#REF!),BDI!$B$17,IF(AND(#REF!="Padrão",$H$4=#REF!),BDI!$C$17,IF(AND(#REF!="Diferenciado",$H$4=#REF!),BDI!$G$17,IF(AND(#REF!="Diferenciado",$H$4=#REF!),BDI!$H$17,IF(#REF!="ZERO",0))))),"")</f>
        <v>#REF!</v>
      </c>
      <c r="H130" s="161" t="e">
        <f t="shared" ca="1" si="4"/>
        <v>#REF!</v>
      </c>
      <c r="I130" s="198" t="e">
        <f t="shared" ca="1" si="5"/>
        <v>#REF!</v>
      </c>
    </row>
    <row r="131" spans="1:9" x14ac:dyDescent="0.25">
      <c r="A131" s="204" t="s">
        <v>534</v>
      </c>
      <c r="B131" s="205" t="s">
        <v>2864</v>
      </c>
      <c r="C131" s="206" t="s">
        <v>189</v>
      </c>
      <c r="D131" s="206">
        <v>0.78</v>
      </c>
      <c r="E131" s="158">
        <f ca="1">OFFSET(INDEX(Composições!A:J,MATCH(Orçamentária!A131,Composições!A:A,0),10),2,0)</f>
        <v>481.5449812</v>
      </c>
      <c r="F131" s="159">
        <f t="shared" ca="1" si="3"/>
        <v>375.605085336</v>
      </c>
      <c r="G131" s="160">
        <f>BDI!$C$17</f>
        <v>0.24479999999999999</v>
      </c>
      <c r="H131" s="161">
        <f t="shared" ca="1" si="4"/>
        <v>599.42999999999995</v>
      </c>
      <c r="I131" s="202">
        <f t="shared" ca="1" si="5"/>
        <v>467.56</v>
      </c>
    </row>
    <row r="132" spans="1:9" hidden="1" x14ac:dyDescent="0.25">
      <c r="A132" s="102" t="s">
        <v>536</v>
      </c>
      <c r="B132" s="103" t="s">
        <v>2865</v>
      </c>
      <c r="C132" s="104" t="s">
        <v>189</v>
      </c>
      <c r="D132" s="104">
        <v>0</v>
      </c>
      <c r="E132" s="158">
        <f ca="1">OFFSET(INDEX(Composições!A:J,MATCH(Orçamentária!A132,Composições!A:A,0),10),2,0)</f>
        <v>47.7736722</v>
      </c>
      <c r="F132" s="159">
        <f t="shared" ca="1" si="3"/>
        <v>0</v>
      </c>
      <c r="G132" s="160" t="e">
        <f>IF(A132&lt;&gt;"",IF(AND(#REF!="Padrão",$H$4=#REF!),BDI!$B$17,IF(AND(#REF!="Padrão",$H$4=#REF!),BDI!$C$17,IF(AND(#REF!="Diferenciado",$H$4=#REF!),BDI!$G$17,IF(AND(#REF!="Diferenciado",$H$4=#REF!),BDI!$H$17,IF(#REF!="ZERO",0))))),"")</f>
        <v>#REF!</v>
      </c>
      <c r="H132" s="161" t="e">
        <f t="shared" ca="1" si="4"/>
        <v>#REF!</v>
      </c>
      <c r="I132" s="159" t="e">
        <f t="shared" ca="1" si="5"/>
        <v>#REF!</v>
      </c>
    </row>
    <row r="133" spans="1:9" hidden="1" x14ac:dyDescent="0.25">
      <c r="A133" s="102" t="s">
        <v>538</v>
      </c>
      <c r="B133" s="103" t="s">
        <v>2866</v>
      </c>
      <c r="C133" s="104" t="s">
        <v>189</v>
      </c>
      <c r="D133" s="104">
        <v>0</v>
      </c>
      <c r="E133" s="158">
        <f ca="1">OFFSET(INDEX(Composições!A:J,MATCH(Orçamentária!A133,Composições!A:A,0),10),2,0)</f>
        <v>47.740004199999994</v>
      </c>
      <c r="F133" s="159">
        <f t="shared" ca="1" si="3"/>
        <v>0</v>
      </c>
      <c r="G133" s="160" t="e">
        <f>IF(A133&lt;&gt;"",IF(AND(#REF!="Padrão",$H$4=#REF!),BDI!$B$17,IF(AND(#REF!="Padrão",$H$4=#REF!),BDI!$C$17,IF(AND(#REF!="Diferenciado",$H$4=#REF!),BDI!$G$17,IF(AND(#REF!="Diferenciado",$H$4=#REF!),BDI!$H$17,IF(#REF!="ZERO",0))))),"")</f>
        <v>#REF!</v>
      </c>
      <c r="H133" s="161" t="e">
        <f t="shared" ca="1" si="4"/>
        <v>#REF!</v>
      </c>
      <c r="I133" s="159" t="e">
        <f t="shared" ca="1" si="5"/>
        <v>#REF!</v>
      </c>
    </row>
    <row r="134" spans="1:9" hidden="1" x14ac:dyDescent="0.25">
      <c r="A134" s="102" t="s">
        <v>539</v>
      </c>
      <c r="B134" s="103" t="s">
        <v>2867</v>
      </c>
      <c r="C134" s="104" t="s">
        <v>189</v>
      </c>
      <c r="D134" s="104">
        <v>0</v>
      </c>
      <c r="E134" s="158">
        <f ca="1">OFFSET(INDEX(Composições!A:J,MATCH(Orçamentária!A134,Composições!A:A,0),10),2,0)</f>
        <v>8.2201295999999999</v>
      </c>
      <c r="F134" s="159">
        <f t="shared" ca="1" si="3"/>
        <v>0</v>
      </c>
      <c r="G134" s="160" t="e">
        <f>IF(A134&lt;&gt;"",IF(AND(#REF!="Padrão",$H$4=#REF!),BDI!$B$17,IF(AND(#REF!="Padrão",$H$4=#REF!),BDI!$C$17,IF(AND(#REF!="Diferenciado",$H$4=#REF!),BDI!$G$17,IF(AND(#REF!="Diferenciado",$H$4=#REF!),BDI!$H$17,IF(#REF!="ZERO",0))))),"")</f>
        <v>#REF!</v>
      </c>
      <c r="H134" s="161" t="e">
        <f t="shared" ca="1" si="4"/>
        <v>#REF!</v>
      </c>
      <c r="I134" s="159" t="e">
        <f t="shared" ca="1" si="5"/>
        <v>#REF!</v>
      </c>
    </row>
    <row r="135" spans="1:9" hidden="1" x14ac:dyDescent="0.25">
      <c r="A135" s="102" t="s">
        <v>541</v>
      </c>
      <c r="B135" s="103" t="s">
        <v>2868</v>
      </c>
      <c r="C135" s="104" t="s">
        <v>189</v>
      </c>
      <c r="D135" s="104">
        <v>0</v>
      </c>
      <c r="E135" s="158">
        <f ca="1">OFFSET(INDEX(Composições!A:J,MATCH(Orçamentária!A135,Composições!A:A,0),10),2,0)</f>
        <v>37.618707999999998</v>
      </c>
      <c r="F135" s="159">
        <f t="shared" ref="F135:F198" ca="1" si="6">IF(ISNUMBER(E135),D135*E135,"")</f>
        <v>0</v>
      </c>
      <c r="G135" s="160" t="e">
        <f>IF(A135&lt;&gt;"",IF(AND(#REF!="Padrão",$H$4=#REF!),BDI!$B$17,IF(AND(#REF!="Padrão",$H$4=#REF!),BDI!$C$17,IF(AND(#REF!="Diferenciado",$H$4=#REF!),BDI!$G$17,IF(AND(#REF!="Diferenciado",$H$4=#REF!),BDI!$H$17,IF(#REF!="ZERO",0))))),"")</f>
        <v>#REF!</v>
      </c>
      <c r="H135" s="161" t="e">
        <f t="shared" ref="H135:H198" ca="1" si="7">IF(ISNUMBER(E135),ROUND(E135*(1+G135),2),"")</f>
        <v>#REF!</v>
      </c>
      <c r="I135" s="159" t="e">
        <f t="shared" ref="I135:I198" ca="1" si="8">IF(ISNUMBER(E135),ROUND(H135*D135,2),"")</f>
        <v>#REF!</v>
      </c>
    </row>
    <row r="136" spans="1:9" hidden="1" x14ac:dyDescent="0.25">
      <c r="A136" s="102" t="s">
        <v>543</v>
      </c>
      <c r="B136" s="103" t="s">
        <v>2869</v>
      </c>
      <c r="C136" s="104" t="s">
        <v>189</v>
      </c>
      <c r="D136" s="104">
        <v>0</v>
      </c>
      <c r="E136" s="158">
        <f ca="1">OFFSET(INDEX(Composições!A:J,MATCH(Orçamentária!A136,Composições!A:A,0),10),2,0)</f>
        <v>37.923277999999996</v>
      </c>
      <c r="F136" s="159">
        <f t="shared" ca="1" si="6"/>
        <v>0</v>
      </c>
      <c r="G136" s="160" t="e">
        <f>IF(A136&lt;&gt;"",IF(AND(#REF!="Padrão",$H$4=#REF!),BDI!$B$17,IF(AND(#REF!="Padrão",$H$4=#REF!),BDI!$C$17,IF(AND(#REF!="Diferenciado",$H$4=#REF!),BDI!$G$17,IF(AND(#REF!="Diferenciado",$H$4=#REF!),BDI!$H$17,IF(#REF!="ZERO",0))))),"")</f>
        <v>#REF!</v>
      </c>
      <c r="H136" s="161" t="e">
        <f t="shared" ca="1" si="7"/>
        <v>#REF!</v>
      </c>
      <c r="I136" s="159" t="e">
        <f t="shared" ca="1" si="8"/>
        <v>#REF!</v>
      </c>
    </row>
    <row r="137" spans="1:9" hidden="1" x14ac:dyDescent="0.25">
      <c r="A137" s="102" t="s">
        <v>2870</v>
      </c>
      <c r="B137" s="103" t="s">
        <v>2871</v>
      </c>
      <c r="C137" s="104" t="s">
        <v>189</v>
      </c>
      <c r="D137" s="104">
        <v>0</v>
      </c>
      <c r="E137" s="158">
        <v>286.62</v>
      </c>
      <c r="F137" s="159">
        <f t="shared" si="6"/>
        <v>0</v>
      </c>
      <c r="G137" s="160" t="e">
        <f>IF(A137&lt;&gt;"",IF(AND(#REF!="Padrão",$H$4=#REF!),BDI!$B$17,IF(AND(#REF!="Padrão",$H$4=#REF!),BDI!$C$17,IF(AND(#REF!="Diferenciado",$H$4=#REF!),BDI!$G$17,IF(AND(#REF!="Diferenciado",$H$4=#REF!),BDI!$H$17,IF(#REF!="ZERO",0))))),"")</f>
        <v>#REF!</v>
      </c>
      <c r="H137" s="161" t="e">
        <f t="shared" si="7"/>
        <v>#REF!</v>
      </c>
      <c r="I137" s="159" t="e">
        <f t="shared" si="8"/>
        <v>#REF!</v>
      </c>
    </row>
    <row r="138" spans="1:9" ht="25.5" hidden="1" x14ac:dyDescent="0.25">
      <c r="A138" s="102" t="s">
        <v>2872</v>
      </c>
      <c r="B138" s="103" t="s">
        <v>2873</v>
      </c>
      <c r="C138" s="104" t="s">
        <v>189</v>
      </c>
      <c r="D138" s="104">
        <v>0</v>
      </c>
      <c r="E138" s="158">
        <v>570.01</v>
      </c>
      <c r="F138" s="159">
        <f t="shared" si="6"/>
        <v>0</v>
      </c>
      <c r="G138" s="160" t="e">
        <f>IF(A138&lt;&gt;"",IF(AND(#REF!="Padrão",$H$4=#REF!),BDI!$B$17,IF(AND(#REF!="Padrão",$H$4=#REF!),BDI!$C$17,IF(AND(#REF!="Diferenciado",$H$4=#REF!),BDI!$G$17,IF(AND(#REF!="Diferenciado",$H$4=#REF!),BDI!$H$17,IF(#REF!="ZERO",0))))),"")</f>
        <v>#REF!</v>
      </c>
      <c r="H138" s="161" t="e">
        <f t="shared" si="7"/>
        <v>#REF!</v>
      </c>
      <c r="I138" s="159" t="e">
        <f t="shared" si="8"/>
        <v>#REF!</v>
      </c>
    </row>
    <row r="139" spans="1:9" hidden="1" x14ac:dyDescent="0.25">
      <c r="A139" s="102" t="s">
        <v>2874</v>
      </c>
      <c r="B139" s="103" t="s">
        <v>2875</v>
      </c>
      <c r="C139" s="104" t="s">
        <v>189</v>
      </c>
      <c r="D139" s="104">
        <v>0</v>
      </c>
      <c r="E139" s="158">
        <v>420</v>
      </c>
      <c r="F139" s="159">
        <f t="shared" si="6"/>
        <v>0</v>
      </c>
      <c r="G139" s="160" t="e">
        <f>IF(A139&lt;&gt;"",IF(AND(#REF!="Padrão",$H$4=#REF!),BDI!$B$17,IF(AND(#REF!="Padrão",$H$4=#REF!),BDI!$C$17,IF(AND(#REF!="Diferenciado",$H$4=#REF!),BDI!$G$17,IF(AND(#REF!="Diferenciado",$H$4=#REF!),BDI!$H$17,IF(#REF!="ZERO",0))))),"")</f>
        <v>#REF!</v>
      </c>
      <c r="H139" s="161" t="e">
        <f t="shared" si="7"/>
        <v>#REF!</v>
      </c>
      <c r="I139" s="159" t="e">
        <f t="shared" si="8"/>
        <v>#REF!</v>
      </c>
    </row>
    <row r="140" spans="1:9" hidden="1" x14ac:dyDescent="0.25">
      <c r="A140" s="102" t="s">
        <v>2876</v>
      </c>
      <c r="B140" s="103" t="s">
        <v>2877</v>
      </c>
      <c r="C140" s="104" t="s">
        <v>189</v>
      </c>
      <c r="D140" s="104">
        <v>0</v>
      </c>
      <c r="E140" s="158">
        <v>549.49</v>
      </c>
      <c r="F140" s="159">
        <f t="shared" si="6"/>
        <v>0</v>
      </c>
      <c r="G140" s="160" t="e">
        <f>IF(A140&lt;&gt;"",IF(AND(#REF!="Padrão",$H$4=#REF!),BDI!$B$17,IF(AND(#REF!="Padrão",$H$4=#REF!),BDI!$C$17,IF(AND(#REF!="Diferenciado",$H$4=#REF!),BDI!$G$17,IF(AND(#REF!="Diferenciado",$H$4=#REF!),BDI!$H$17,IF(#REF!="ZERO",0))))),"")</f>
        <v>#REF!</v>
      </c>
      <c r="H140" s="161" t="e">
        <f t="shared" si="7"/>
        <v>#REF!</v>
      </c>
      <c r="I140" s="159" t="e">
        <f t="shared" si="8"/>
        <v>#REF!</v>
      </c>
    </row>
    <row r="141" spans="1:9" hidden="1" x14ac:dyDescent="0.25">
      <c r="A141" s="102" t="s">
        <v>2878</v>
      </c>
      <c r="B141" s="103" t="s">
        <v>2879</v>
      </c>
      <c r="C141" s="104" t="s">
        <v>189</v>
      </c>
      <c r="D141" s="104">
        <v>0</v>
      </c>
      <c r="E141" s="158">
        <v>601.80999999999995</v>
      </c>
      <c r="F141" s="159">
        <f t="shared" si="6"/>
        <v>0</v>
      </c>
      <c r="G141" s="160" t="e">
        <f>IF(A141&lt;&gt;"",IF(AND(#REF!="Padrão",$H$4=#REF!),BDI!$B$17,IF(AND(#REF!="Padrão",$H$4=#REF!),BDI!$C$17,IF(AND(#REF!="Diferenciado",$H$4=#REF!),BDI!$G$17,IF(AND(#REF!="Diferenciado",$H$4=#REF!),BDI!$H$17,IF(#REF!="ZERO",0))))),"")</f>
        <v>#REF!</v>
      </c>
      <c r="H141" s="161" t="e">
        <f t="shared" si="7"/>
        <v>#REF!</v>
      </c>
      <c r="I141" s="159" t="e">
        <f t="shared" si="8"/>
        <v>#REF!</v>
      </c>
    </row>
    <row r="142" spans="1:9" hidden="1" x14ac:dyDescent="0.25">
      <c r="A142" s="102" t="s">
        <v>2880</v>
      </c>
      <c r="B142" s="103" t="s">
        <v>2881</v>
      </c>
      <c r="C142" s="104" t="s">
        <v>189</v>
      </c>
      <c r="D142" s="104">
        <v>0</v>
      </c>
      <c r="E142" s="158">
        <v>831.31</v>
      </c>
      <c r="F142" s="159">
        <f t="shared" si="6"/>
        <v>0</v>
      </c>
      <c r="G142" s="160" t="e">
        <f>IF(A142&lt;&gt;"",IF(AND(#REF!="Padrão",$H$4=#REF!),BDI!$B$17,IF(AND(#REF!="Padrão",$H$4=#REF!),BDI!$C$17,IF(AND(#REF!="Diferenciado",$H$4=#REF!),BDI!$G$17,IF(AND(#REF!="Diferenciado",$H$4=#REF!),BDI!$H$17,IF(#REF!="ZERO",0))))),"")</f>
        <v>#REF!</v>
      </c>
      <c r="H142" s="161" t="e">
        <f t="shared" si="7"/>
        <v>#REF!</v>
      </c>
      <c r="I142" s="159" t="e">
        <f t="shared" si="8"/>
        <v>#REF!</v>
      </c>
    </row>
    <row r="143" spans="1:9" hidden="1" x14ac:dyDescent="0.25">
      <c r="A143" s="102" t="s">
        <v>545</v>
      </c>
      <c r="B143" s="103" t="s">
        <v>2882</v>
      </c>
      <c r="C143" s="104" t="s">
        <v>189</v>
      </c>
      <c r="D143" s="104">
        <v>0</v>
      </c>
      <c r="E143" s="158">
        <f ca="1">OFFSET(INDEX(Composições!A:J,MATCH(Orçamentária!A143,Composições!A:A,0),10),2,0)</f>
        <v>0.95</v>
      </c>
      <c r="F143" s="159">
        <f t="shared" ca="1" si="6"/>
        <v>0</v>
      </c>
      <c r="G143" s="160" t="e">
        <f>IF(A143&lt;&gt;"",IF(AND(#REF!="Padrão",$H$4=#REF!),BDI!$B$17,IF(AND(#REF!="Padrão",$H$4=#REF!),BDI!$C$17,IF(AND(#REF!="Diferenciado",$H$4=#REF!),BDI!$G$17,IF(AND(#REF!="Diferenciado",$H$4=#REF!),BDI!$H$17,IF(#REF!="ZERO",0))))),"")</f>
        <v>#REF!</v>
      </c>
      <c r="H143" s="161" t="e">
        <f t="shared" ca="1" si="7"/>
        <v>#REF!</v>
      </c>
      <c r="I143" s="198" t="e">
        <f t="shared" ca="1" si="8"/>
        <v>#REF!</v>
      </c>
    </row>
    <row r="144" spans="1:9" x14ac:dyDescent="0.25">
      <c r="A144" s="204" t="s">
        <v>550</v>
      </c>
      <c r="B144" s="205" t="s">
        <v>2883</v>
      </c>
      <c r="C144" s="206" t="s">
        <v>189</v>
      </c>
      <c r="D144" s="206">
        <v>4.68</v>
      </c>
      <c r="E144" s="158">
        <f ca="1">OFFSET(INDEX(Composições!A:J,MATCH(Orçamentária!A144,Composições!A:A,0),10),2,0)</f>
        <v>85.563709999999986</v>
      </c>
      <c r="F144" s="159">
        <f t="shared" ca="1" si="6"/>
        <v>400.43816279999993</v>
      </c>
      <c r="G144" s="160">
        <f>BDI!$C$17</f>
        <v>0.24479999999999999</v>
      </c>
      <c r="H144" s="161">
        <f t="shared" ca="1" si="7"/>
        <v>106.51</v>
      </c>
      <c r="I144" s="202">
        <f t="shared" ca="1" si="8"/>
        <v>498.47</v>
      </c>
    </row>
    <row r="145" spans="1:9" hidden="1" x14ac:dyDescent="0.25">
      <c r="A145" s="102" t="s">
        <v>554</v>
      </c>
      <c r="B145" s="103" t="s">
        <v>2884</v>
      </c>
      <c r="C145" s="104" t="s">
        <v>189</v>
      </c>
      <c r="D145" s="104">
        <v>0</v>
      </c>
      <c r="E145" s="158">
        <f ca="1">OFFSET(INDEX(Composições!A:J,MATCH(Orçamentária!A145,Composições!A:A,0),10),2,0)</f>
        <v>36.954845149999997</v>
      </c>
      <c r="F145" s="159">
        <f t="shared" ca="1" si="6"/>
        <v>0</v>
      </c>
      <c r="G145" s="160" t="e">
        <f>IF(A145&lt;&gt;"",IF(AND(#REF!="Padrão",$H$4=#REF!),BDI!$B$17,IF(AND(#REF!="Padrão",$H$4=#REF!),BDI!$C$17,IF(AND(#REF!="Diferenciado",$H$4=#REF!),BDI!$G$17,IF(AND(#REF!="Diferenciado",$H$4=#REF!),BDI!$H$17,IF(#REF!="ZERO",0))))),"")</f>
        <v>#REF!</v>
      </c>
      <c r="H145" s="161" t="e">
        <f t="shared" ca="1" si="7"/>
        <v>#REF!</v>
      </c>
      <c r="I145" s="159" t="e">
        <f t="shared" ca="1" si="8"/>
        <v>#REF!</v>
      </c>
    </row>
    <row r="146" spans="1:9" hidden="1" x14ac:dyDescent="0.25">
      <c r="A146" s="102" t="s">
        <v>569</v>
      </c>
      <c r="B146" s="103" t="s">
        <v>2885</v>
      </c>
      <c r="C146" s="104" t="s">
        <v>189</v>
      </c>
      <c r="D146" s="104">
        <v>0</v>
      </c>
      <c r="E146" s="158">
        <f ca="1">OFFSET(INDEX(Composições!A:J,MATCH(Orçamentária!A146,Composições!A:A,0),10),2,0)</f>
        <v>16.130553499999998</v>
      </c>
      <c r="F146" s="159">
        <f t="shared" ca="1" si="6"/>
        <v>0</v>
      </c>
      <c r="G146" s="160" t="e">
        <f>IF(A146&lt;&gt;"",IF(AND(#REF!="Padrão",$H$4=#REF!),BDI!$B$17,IF(AND(#REF!="Padrão",$H$4=#REF!),BDI!$C$17,IF(AND(#REF!="Diferenciado",$H$4=#REF!),BDI!$G$17,IF(AND(#REF!="Diferenciado",$H$4=#REF!),BDI!$H$17,IF(#REF!="ZERO",0))))),"")</f>
        <v>#REF!</v>
      </c>
      <c r="H146" s="161" t="e">
        <f t="shared" ca="1" si="7"/>
        <v>#REF!</v>
      </c>
      <c r="I146" s="159" t="e">
        <f t="shared" ca="1" si="8"/>
        <v>#REF!</v>
      </c>
    </row>
    <row r="147" spans="1:9" hidden="1" x14ac:dyDescent="0.25">
      <c r="A147" s="102" t="s">
        <v>571</v>
      </c>
      <c r="B147" s="103" t="s">
        <v>2886</v>
      </c>
      <c r="C147" s="104" t="s">
        <v>189</v>
      </c>
      <c r="D147" s="104">
        <v>0</v>
      </c>
      <c r="E147" s="158">
        <f ca="1">OFFSET(INDEX(Composições!A:J,MATCH(Orçamentária!A147,Composições!A:A,0),10),2,0)</f>
        <v>23.42418515</v>
      </c>
      <c r="F147" s="159">
        <f t="shared" ca="1" si="6"/>
        <v>0</v>
      </c>
      <c r="G147" s="160" t="e">
        <f>IF(A147&lt;&gt;"",IF(AND(#REF!="Padrão",$H$4=#REF!),BDI!$B$17,IF(AND(#REF!="Padrão",$H$4=#REF!),BDI!$C$17,IF(AND(#REF!="Diferenciado",$H$4=#REF!),BDI!$G$17,IF(AND(#REF!="Diferenciado",$H$4=#REF!),BDI!$H$17,IF(#REF!="ZERO",0))))),"")</f>
        <v>#REF!</v>
      </c>
      <c r="H147" s="161" t="e">
        <f t="shared" ca="1" si="7"/>
        <v>#REF!</v>
      </c>
      <c r="I147" s="159" t="e">
        <f t="shared" ca="1" si="8"/>
        <v>#REF!</v>
      </c>
    </row>
    <row r="148" spans="1:9" hidden="1" x14ac:dyDescent="0.25">
      <c r="A148" s="102" t="s">
        <v>573</v>
      </c>
      <c r="B148" s="103" t="s">
        <v>2887</v>
      </c>
      <c r="C148" s="104" t="s">
        <v>189</v>
      </c>
      <c r="D148" s="104">
        <v>0</v>
      </c>
      <c r="E148" s="158">
        <f ca="1">OFFSET(INDEX(Composições!A:J,MATCH(Orçamentária!A148,Composições!A:A,0),10),2,0)</f>
        <v>14.995749999999997</v>
      </c>
      <c r="F148" s="159">
        <f t="shared" ca="1" si="6"/>
        <v>0</v>
      </c>
      <c r="G148" s="160" t="e">
        <f>IF(A148&lt;&gt;"",IF(AND(#REF!="Padrão",$H$4=#REF!),BDI!$B$17,IF(AND(#REF!="Padrão",$H$4=#REF!),BDI!$C$17,IF(AND(#REF!="Diferenciado",$H$4=#REF!),BDI!$G$17,IF(AND(#REF!="Diferenciado",$H$4=#REF!),BDI!$H$17,IF(#REF!="ZERO",0))))),"")</f>
        <v>#REF!</v>
      </c>
      <c r="H148" s="161" t="e">
        <f t="shared" ca="1" si="7"/>
        <v>#REF!</v>
      </c>
      <c r="I148" s="198" t="e">
        <f t="shared" ca="1" si="8"/>
        <v>#REF!</v>
      </c>
    </row>
    <row r="149" spans="1:9" x14ac:dyDescent="0.25">
      <c r="A149" s="204" t="s">
        <v>578</v>
      </c>
      <c r="B149" s="205" t="s">
        <v>2888</v>
      </c>
      <c r="C149" s="206" t="s">
        <v>189</v>
      </c>
      <c r="D149" s="206">
        <v>63.63</v>
      </c>
      <c r="E149" s="158">
        <f ca="1">OFFSET(INDEX(Composições!A:J,MATCH(Orçamentária!A149,Composições!A:A,0),10),2,0)</f>
        <v>54.563846599999991</v>
      </c>
      <c r="F149" s="159">
        <f t="shared" ca="1" si="6"/>
        <v>3471.8975591579997</v>
      </c>
      <c r="G149" s="160">
        <f>BDI!$C$17</f>
        <v>0.24479999999999999</v>
      </c>
      <c r="H149" s="161">
        <f t="shared" ca="1" si="7"/>
        <v>67.92</v>
      </c>
      <c r="I149" s="202">
        <f t="shared" ca="1" si="8"/>
        <v>4321.75</v>
      </c>
    </row>
    <row r="150" spans="1:9" hidden="1" x14ac:dyDescent="0.25">
      <c r="A150" s="102" t="s">
        <v>580</v>
      </c>
      <c r="B150" s="103" t="s">
        <v>2889</v>
      </c>
      <c r="C150" s="104" t="s">
        <v>189</v>
      </c>
      <c r="D150" s="104">
        <v>0</v>
      </c>
      <c r="E150" s="158">
        <f ca="1">OFFSET(INDEX(Composições!A:J,MATCH(Orçamentária!A150,Composições!A:A,0),10),2,0)</f>
        <v>40.044496899999999</v>
      </c>
      <c r="F150" s="159">
        <f t="shared" ca="1" si="6"/>
        <v>0</v>
      </c>
      <c r="G150" s="160" t="e">
        <f>IF(A150&lt;&gt;"",IF(AND(#REF!="Padrão",$H$4=#REF!),BDI!$B$17,IF(AND(#REF!="Padrão",$H$4=#REF!),BDI!$C$17,IF(AND(#REF!="Diferenciado",$H$4=#REF!),BDI!$G$17,IF(AND(#REF!="Diferenciado",$H$4=#REF!),BDI!$H$17,IF(#REF!="ZERO",0))))),"")</f>
        <v>#REF!</v>
      </c>
      <c r="H150" s="161" t="e">
        <f t="shared" ca="1" si="7"/>
        <v>#REF!</v>
      </c>
      <c r="I150" s="159" t="e">
        <f t="shared" ca="1" si="8"/>
        <v>#REF!</v>
      </c>
    </row>
    <row r="151" spans="1:9" hidden="1" x14ac:dyDescent="0.25">
      <c r="A151" s="102" t="s">
        <v>582</v>
      </c>
      <c r="B151" s="103" t="s">
        <v>2890</v>
      </c>
      <c r="C151" s="104" t="s">
        <v>189</v>
      </c>
      <c r="D151" s="104">
        <v>0</v>
      </c>
      <c r="E151" s="158">
        <f ca="1">OFFSET(INDEX(Composições!A:J,MATCH(Orçamentária!A151,Composições!A:A,0),10),2,0)</f>
        <v>79.752499999999998</v>
      </c>
      <c r="F151" s="159">
        <f t="shared" ca="1" si="6"/>
        <v>0</v>
      </c>
      <c r="G151" s="160" t="e">
        <f>IF(A151&lt;&gt;"",IF(AND(#REF!="Padrão",$H$4=#REF!),BDI!$B$17,IF(AND(#REF!="Padrão",$H$4=#REF!),BDI!$C$17,IF(AND(#REF!="Diferenciado",$H$4=#REF!),BDI!$G$17,IF(AND(#REF!="Diferenciado",$H$4=#REF!),BDI!$H$17,IF(#REF!="ZERO",0))))),"")</f>
        <v>#REF!</v>
      </c>
      <c r="H151" s="161" t="e">
        <f t="shared" ca="1" si="7"/>
        <v>#REF!</v>
      </c>
      <c r="I151" s="159" t="e">
        <f t="shared" ca="1" si="8"/>
        <v>#REF!</v>
      </c>
    </row>
    <row r="152" spans="1:9" hidden="1" x14ac:dyDescent="0.25">
      <c r="A152" s="102" t="s">
        <v>585</v>
      </c>
      <c r="B152" s="103" t="s">
        <v>2891</v>
      </c>
      <c r="C152" s="104" t="s">
        <v>189</v>
      </c>
      <c r="D152" s="104">
        <v>0</v>
      </c>
      <c r="E152" s="158">
        <f ca="1">OFFSET(INDEX(Composições!A:J,MATCH(Orçamentária!A152,Composições!A:A,0),10),2,0)</f>
        <v>22.829449999999998</v>
      </c>
      <c r="F152" s="159">
        <f t="shared" ca="1" si="6"/>
        <v>0</v>
      </c>
      <c r="G152" s="160" t="e">
        <f>IF(A152&lt;&gt;"",IF(AND(#REF!="Padrão",$H$4=#REF!),BDI!$B$17,IF(AND(#REF!="Padrão",$H$4=#REF!),BDI!$C$17,IF(AND(#REF!="Diferenciado",$H$4=#REF!),BDI!$G$17,IF(AND(#REF!="Diferenciado",$H$4=#REF!),BDI!$H$17,IF(#REF!="ZERO",0))))),"")</f>
        <v>#REF!</v>
      </c>
      <c r="H152" s="161" t="e">
        <f t="shared" ca="1" si="7"/>
        <v>#REF!</v>
      </c>
      <c r="I152" s="159" t="e">
        <f t="shared" ca="1" si="8"/>
        <v>#REF!</v>
      </c>
    </row>
    <row r="153" spans="1:9" hidden="1" x14ac:dyDescent="0.25">
      <c r="A153" s="102" t="s">
        <v>591</v>
      </c>
      <c r="B153" s="103" t="s">
        <v>2892</v>
      </c>
      <c r="C153" s="104" t="s">
        <v>189</v>
      </c>
      <c r="D153" s="104">
        <v>0</v>
      </c>
      <c r="E153" s="158">
        <f ca="1">OFFSET(INDEX(Composições!A:J,MATCH(Orçamentária!A153,Composições!A:A,0),10),2,0)</f>
        <v>2.2043818999999996</v>
      </c>
      <c r="F153" s="159">
        <f t="shared" ca="1" si="6"/>
        <v>0</v>
      </c>
      <c r="G153" s="160" t="e">
        <f>IF(A153&lt;&gt;"",IF(AND(#REF!="Padrão",$H$4=#REF!),BDI!$B$17,IF(AND(#REF!="Padrão",$H$4=#REF!),BDI!$C$17,IF(AND(#REF!="Diferenciado",$H$4=#REF!),BDI!$G$17,IF(AND(#REF!="Diferenciado",$H$4=#REF!),BDI!$H$17,IF(#REF!="ZERO",0))))),"")</f>
        <v>#REF!</v>
      </c>
      <c r="H153" s="161" t="e">
        <f t="shared" ca="1" si="7"/>
        <v>#REF!</v>
      </c>
      <c r="I153" s="159" t="e">
        <f t="shared" ca="1" si="8"/>
        <v>#REF!</v>
      </c>
    </row>
    <row r="154" spans="1:9" hidden="1" x14ac:dyDescent="0.25">
      <c r="A154" s="102" t="s">
        <v>592</v>
      </c>
      <c r="B154" s="103" t="s">
        <v>2893</v>
      </c>
      <c r="C154" s="104" t="s">
        <v>189</v>
      </c>
      <c r="D154" s="104">
        <v>0</v>
      </c>
      <c r="E154" s="158">
        <f ca="1">OFFSET(INDEX(Composições!A:J,MATCH(Orçamentária!A154,Composições!A:A,0),10),2,0)</f>
        <v>37.916399999999996</v>
      </c>
      <c r="F154" s="159">
        <f t="shared" ca="1" si="6"/>
        <v>0</v>
      </c>
      <c r="G154" s="160" t="e">
        <f>IF(A154&lt;&gt;"",IF(AND(#REF!="Padrão",$H$4=#REF!),BDI!$B$17,IF(AND(#REF!="Padrão",$H$4=#REF!),BDI!$C$17,IF(AND(#REF!="Diferenciado",$H$4=#REF!),BDI!$G$17,IF(AND(#REF!="Diferenciado",$H$4=#REF!),BDI!$H$17,IF(#REF!="ZERO",0))))),"")</f>
        <v>#REF!</v>
      </c>
      <c r="H154" s="161" t="e">
        <f t="shared" ca="1" si="7"/>
        <v>#REF!</v>
      </c>
      <c r="I154" s="198" t="e">
        <f t="shared" ca="1" si="8"/>
        <v>#REF!</v>
      </c>
    </row>
    <row r="155" spans="1:9" x14ac:dyDescent="0.25">
      <c r="A155" s="204" t="s">
        <v>593</v>
      </c>
      <c r="B155" s="205" t="s">
        <v>2894</v>
      </c>
      <c r="C155" s="206" t="s">
        <v>184</v>
      </c>
      <c r="D155" s="206">
        <v>53.55</v>
      </c>
      <c r="E155" s="158">
        <f ca="1">OFFSET(INDEX(Composições!A:J,MATCH(Orçamentária!A155,Composições!A:A,0),10),2,0)</f>
        <v>8.3829614999999986</v>
      </c>
      <c r="F155" s="159">
        <f t="shared" ca="1" si="6"/>
        <v>448.90758832499989</v>
      </c>
      <c r="G155" s="160">
        <f>BDI!$C$17</f>
        <v>0.24479999999999999</v>
      </c>
      <c r="H155" s="161">
        <f t="shared" ca="1" si="7"/>
        <v>10.44</v>
      </c>
      <c r="I155" s="202">
        <f t="shared" ca="1" si="8"/>
        <v>559.05999999999995</v>
      </c>
    </row>
    <row r="156" spans="1:9" hidden="1" x14ac:dyDescent="0.25">
      <c r="A156" s="102" t="s">
        <v>598</v>
      </c>
      <c r="B156" s="103" t="s">
        <v>2895</v>
      </c>
      <c r="C156" s="104" t="s">
        <v>189</v>
      </c>
      <c r="D156" s="104">
        <v>0</v>
      </c>
      <c r="E156" s="158">
        <f ca="1">OFFSET(INDEX(Composições!A:J,MATCH(Orçamentária!A156,Composições!A:A,0),10),2,0)</f>
        <v>5.7569999999999997</v>
      </c>
      <c r="F156" s="159">
        <f t="shared" ca="1" si="6"/>
        <v>0</v>
      </c>
      <c r="G156" s="160" t="e">
        <f>IF(A156&lt;&gt;"",IF(AND(#REF!="Padrão",$H$4=#REF!),BDI!$B$17,IF(AND(#REF!="Padrão",$H$4=#REF!),BDI!$C$17,IF(AND(#REF!="Diferenciado",$H$4=#REF!),BDI!$G$17,IF(AND(#REF!="Diferenciado",$H$4=#REF!),BDI!$H$17,IF(#REF!="ZERO",0))))),"")</f>
        <v>#REF!</v>
      </c>
      <c r="H156" s="161" t="e">
        <f t="shared" ca="1" si="7"/>
        <v>#REF!</v>
      </c>
      <c r="I156" s="159" t="e">
        <f t="shared" ca="1" si="8"/>
        <v>#REF!</v>
      </c>
    </row>
    <row r="157" spans="1:9" hidden="1" x14ac:dyDescent="0.25">
      <c r="A157" s="102" t="s">
        <v>603</v>
      </c>
      <c r="B157" s="103" t="s">
        <v>604</v>
      </c>
      <c r="C157" s="104" t="s">
        <v>184</v>
      </c>
      <c r="D157" s="104">
        <v>0</v>
      </c>
      <c r="E157" s="158">
        <f ca="1">OFFSET(INDEX(Composições!A:J,MATCH(Orçamentária!A157,Composições!A:A,0),10),2,0)</f>
        <v>4.4626249999999992</v>
      </c>
      <c r="F157" s="159">
        <f t="shared" ca="1" si="6"/>
        <v>0</v>
      </c>
      <c r="G157" s="160" t="e">
        <f>IF(A157&lt;&gt;"",IF(AND(#REF!="Padrão",$H$4=#REF!),BDI!$B$17,IF(AND(#REF!="Padrão",$H$4=#REF!),BDI!$C$17,IF(AND(#REF!="Diferenciado",$H$4=#REF!),BDI!$G$17,IF(AND(#REF!="Diferenciado",$H$4=#REF!),BDI!$H$17,IF(#REF!="ZERO",0))))),"")</f>
        <v>#REF!</v>
      </c>
      <c r="H157" s="161" t="e">
        <f t="shared" ca="1" si="7"/>
        <v>#REF!</v>
      </c>
      <c r="I157" s="159" t="e">
        <f t="shared" ca="1" si="8"/>
        <v>#REF!</v>
      </c>
    </row>
    <row r="158" spans="1:9" hidden="1" x14ac:dyDescent="0.25">
      <c r="A158" s="102" t="s">
        <v>605</v>
      </c>
      <c r="B158" s="103" t="s">
        <v>2896</v>
      </c>
      <c r="C158" s="104" t="s">
        <v>184</v>
      </c>
      <c r="D158" s="104">
        <v>0</v>
      </c>
      <c r="E158" s="158">
        <f ca="1">OFFSET(INDEX(Composições!A:J,MATCH(Orçamentária!A158,Composições!A:A,0),10),2,0)</f>
        <v>16.37135</v>
      </c>
      <c r="F158" s="159">
        <f t="shared" ca="1" si="6"/>
        <v>0</v>
      </c>
      <c r="G158" s="160" t="e">
        <f>IF(A158&lt;&gt;"",IF(AND(#REF!="Padrão",$H$4=#REF!),BDI!$B$17,IF(AND(#REF!="Padrão",$H$4=#REF!),BDI!$C$17,IF(AND(#REF!="Diferenciado",$H$4=#REF!),BDI!$G$17,IF(AND(#REF!="Diferenciado",$H$4=#REF!),BDI!$H$17,IF(#REF!="ZERO",0))))),"")</f>
        <v>#REF!</v>
      </c>
      <c r="H158" s="161" t="e">
        <f t="shared" ca="1" si="7"/>
        <v>#REF!</v>
      </c>
      <c r="I158" s="198" t="e">
        <f t="shared" ca="1" si="8"/>
        <v>#REF!</v>
      </c>
    </row>
    <row r="159" spans="1:9" x14ac:dyDescent="0.25">
      <c r="A159" s="204" t="s">
        <v>610</v>
      </c>
      <c r="B159" s="205" t="s">
        <v>2897</v>
      </c>
      <c r="C159" s="206" t="s">
        <v>189</v>
      </c>
      <c r="D159" s="206">
        <v>3.97</v>
      </c>
      <c r="E159" s="158">
        <f ca="1">OFFSET(INDEX(Composições!A:J,MATCH(Orçamentária!A159,Composições!A:A,0),10),2,0)</f>
        <v>438.38889999999992</v>
      </c>
      <c r="F159" s="159">
        <f t="shared" ca="1" si="6"/>
        <v>1740.4039329999998</v>
      </c>
      <c r="G159" s="160">
        <f>BDI!$C$17</f>
        <v>0.24479999999999999</v>
      </c>
      <c r="H159" s="161">
        <f t="shared" ca="1" si="7"/>
        <v>545.71</v>
      </c>
      <c r="I159" s="202">
        <f t="shared" ca="1" si="8"/>
        <v>2166.4699999999998</v>
      </c>
    </row>
    <row r="160" spans="1:9" hidden="1" x14ac:dyDescent="0.25">
      <c r="A160" s="102" t="s">
        <v>617</v>
      </c>
      <c r="B160" s="103" t="s">
        <v>2898</v>
      </c>
      <c r="C160" s="104" t="s">
        <v>189</v>
      </c>
      <c r="D160" s="104">
        <v>0</v>
      </c>
      <c r="E160" s="158">
        <f ca="1">OFFSET(INDEX(Composições!A:J,MATCH(Orçamentária!A160,Composições!A:A,0),10),2,0)</f>
        <v>24.785024999999997</v>
      </c>
      <c r="F160" s="159">
        <f t="shared" ca="1" si="6"/>
        <v>0</v>
      </c>
      <c r="G160" s="160" t="e">
        <f>IF(A160&lt;&gt;"",IF(AND(#REF!="Padrão",$H$4=#REF!),BDI!$B$17,IF(AND(#REF!="Padrão",$H$4=#REF!),BDI!$C$17,IF(AND(#REF!="Diferenciado",$H$4=#REF!),BDI!$G$17,IF(AND(#REF!="Diferenciado",$H$4=#REF!),BDI!$H$17,IF(#REF!="ZERO",0))))),"")</f>
        <v>#REF!</v>
      </c>
      <c r="H160" s="161" t="e">
        <f t="shared" ca="1" si="7"/>
        <v>#REF!</v>
      </c>
      <c r="I160" s="159" t="e">
        <f t="shared" ca="1" si="8"/>
        <v>#REF!</v>
      </c>
    </row>
    <row r="161" spans="1:9" hidden="1" x14ac:dyDescent="0.25">
      <c r="A161" s="102" t="s">
        <v>620</v>
      </c>
      <c r="B161" s="103" t="s">
        <v>2899</v>
      </c>
      <c r="C161" s="104" t="s">
        <v>184</v>
      </c>
      <c r="D161" s="104">
        <v>0</v>
      </c>
      <c r="E161" s="158">
        <f ca="1">OFFSET(INDEX(Composições!A:J,MATCH(Orçamentária!A161,Composições!A:A,0),10),2,0)</f>
        <v>17.291104849999996</v>
      </c>
      <c r="F161" s="159">
        <f t="shared" ca="1" si="6"/>
        <v>0</v>
      </c>
      <c r="G161" s="160" t="e">
        <f>IF(A161&lt;&gt;"",IF(AND(#REF!="Padrão",$H$4=#REF!),BDI!$B$17,IF(AND(#REF!="Padrão",$H$4=#REF!),BDI!$C$17,IF(AND(#REF!="Diferenciado",$H$4=#REF!),BDI!$G$17,IF(AND(#REF!="Diferenciado",$H$4=#REF!),BDI!$H$17,IF(#REF!="ZERO",0))))),"")</f>
        <v>#REF!</v>
      </c>
      <c r="H161" s="161" t="e">
        <f t="shared" ca="1" si="7"/>
        <v>#REF!</v>
      </c>
      <c r="I161" s="198" t="e">
        <f t="shared" ca="1" si="8"/>
        <v>#REF!</v>
      </c>
    </row>
    <row r="162" spans="1:9" x14ac:dyDescent="0.25">
      <c r="A162" s="204" t="s">
        <v>624</v>
      </c>
      <c r="B162" s="205" t="s">
        <v>2900</v>
      </c>
      <c r="C162" s="206" t="s">
        <v>189</v>
      </c>
      <c r="D162" s="206">
        <v>0.72</v>
      </c>
      <c r="E162" s="158">
        <f ca="1">OFFSET(INDEX(Composições!A:J,MATCH(Orçamentária!A162,Composições!A:A,0),10),2,0)</f>
        <v>126.11202499999999</v>
      </c>
      <c r="F162" s="159">
        <f t="shared" ca="1" si="6"/>
        <v>90.800657999999984</v>
      </c>
      <c r="G162" s="160">
        <f>BDI!$C$17</f>
        <v>0.24479999999999999</v>
      </c>
      <c r="H162" s="161">
        <f t="shared" ca="1" si="7"/>
        <v>156.97999999999999</v>
      </c>
      <c r="I162" s="202">
        <f t="shared" ca="1" si="8"/>
        <v>113.03</v>
      </c>
    </row>
    <row r="163" spans="1:9" x14ac:dyDescent="0.25">
      <c r="A163" s="204" t="s">
        <v>627</v>
      </c>
      <c r="B163" s="205" t="s">
        <v>2901</v>
      </c>
      <c r="C163" s="206" t="s">
        <v>189</v>
      </c>
      <c r="D163" s="206">
        <v>0.36</v>
      </c>
      <c r="E163" s="158">
        <f ca="1">OFFSET(INDEX(Composições!A:J,MATCH(Orçamentária!A163,Composições!A:A,0),10),2,0)</f>
        <v>177.15220000000002</v>
      </c>
      <c r="F163" s="159">
        <f t="shared" ca="1" si="6"/>
        <v>63.774792000000005</v>
      </c>
      <c r="G163" s="160">
        <f>BDI!$C$17</f>
        <v>0.24479999999999999</v>
      </c>
      <c r="H163" s="161">
        <f t="shared" ca="1" si="7"/>
        <v>220.52</v>
      </c>
      <c r="I163" s="199">
        <f t="shared" ca="1" si="8"/>
        <v>79.39</v>
      </c>
    </row>
    <row r="164" spans="1:9" hidden="1" x14ac:dyDescent="0.25">
      <c r="A164" s="102" t="s">
        <v>631</v>
      </c>
      <c r="B164" s="103" t="s">
        <v>2902</v>
      </c>
      <c r="C164" s="104" t="s">
        <v>189</v>
      </c>
      <c r="D164" s="104">
        <v>0</v>
      </c>
      <c r="E164" s="158">
        <f ca="1">OFFSET(INDEX(Composições!A:J,MATCH(Orçamentária!A164,Composições!A:A,0),10),2,0)</f>
        <v>35.394149999999996</v>
      </c>
      <c r="F164" s="159">
        <f t="shared" ca="1" si="6"/>
        <v>0</v>
      </c>
      <c r="G164" s="160" t="e">
        <f>IF(A164&lt;&gt;"",IF(AND(#REF!="Padrão",$H$4=#REF!),BDI!$B$17,IF(AND(#REF!="Padrão",$H$4=#REF!),BDI!$C$17,IF(AND(#REF!="Diferenciado",$H$4=#REF!),BDI!$G$17,IF(AND(#REF!="Diferenciado",$H$4=#REF!),BDI!$H$17,IF(#REF!="ZERO",0))))),"")</f>
        <v>#REF!</v>
      </c>
      <c r="H164" s="161" t="e">
        <f t="shared" ca="1" si="7"/>
        <v>#REF!</v>
      </c>
      <c r="I164" s="159" t="e">
        <f t="shared" ca="1" si="8"/>
        <v>#REF!</v>
      </c>
    </row>
    <row r="165" spans="1:9" hidden="1" x14ac:dyDescent="0.25">
      <c r="A165" s="102" t="s">
        <v>633</v>
      </c>
      <c r="B165" s="103" t="s">
        <v>2903</v>
      </c>
      <c r="C165" s="104" t="s">
        <v>32</v>
      </c>
      <c r="D165" s="104">
        <v>0</v>
      </c>
      <c r="E165" s="158">
        <f ca="1">OFFSET(INDEX(Composições!A:J,MATCH(Orçamentária!A165,Composições!A:A,0),10),2,0)</f>
        <v>17.685674999999996</v>
      </c>
      <c r="F165" s="159">
        <f t="shared" ca="1" si="6"/>
        <v>0</v>
      </c>
      <c r="G165" s="160" t="e">
        <f>IF(A165&lt;&gt;"",IF(AND(#REF!="Padrão",$H$4=#REF!),BDI!$B$17,IF(AND(#REF!="Padrão",$H$4=#REF!),BDI!$C$17,IF(AND(#REF!="Diferenciado",$H$4=#REF!),BDI!$G$17,IF(AND(#REF!="Diferenciado",$H$4=#REF!),BDI!$H$17,IF(#REF!="ZERO",0))))),"")</f>
        <v>#REF!</v>
      </c>
      <c r="H165" s="161" t="e">
        <f t="shared" ca="1" si="7"/>
        <v>#REF!</v>
      </c>
      <c r="I165" s="159" t="e">
        <f t="shared" ca="1" si="8"/>
        <v>#REF!</v>
      </c>
    </row>
    <row r="166" spans="1:9" hidden="1" x14ac:dyDescent="0.25">
      <c r="A166" s="102" t="s">
        <v>638</v>
      </c>
      <c r="B166" s="103" t="s">
        <v>2904</v>
      </c>
      <c r="C166" s="104" t="s">
        <v>184</v>
      </c>
      <c r="D166" s="104">
        <v>0</v>
      </c>
      <c r="E166" s="158">
        <f ca="1">OFFSET(INDEX(Composições!A:J,MATCH(Orçamentária!A166,Composições!A:A,0),10),2,0)</f>
        <v>5.6266039499999998</v>
      </c>
      <c r="F166" s="159">
        <f t="shared" ca="1" si="6"/>
        <v>0</v>
      </c>
      <c r="G166" s="160" t="e">
        <f>IF(A166&lt;&gt;"",IF(AND(#REF!="Padrão",$H$4=#REF!),BDI!$B$17,IF(AND(#REF!="Padrão",$H$4=#REF!),BDI!$C$17,IF(AND(#REF!="Diferenciado",$H$4=#REF!),BDI!$G$17,IF(AND(#REF!="Diferenciado",$H$4=#REF!),BDI!$H$17,IF(#REF!="ZERO",0))))),"")</f>
        <v>#REF!</v>
      </c>
      <c r="H166" s="161" t="e">
        <f t="shared" ca="1" si="7"/>
        <v>#REF!</v>
      </c>
      <c r="I166" s="159" t="e">
        <f t="shared" ca="1" si="8"/>
        <v>#REF!</v>
      </c>
    </row>
    <row r="167" spans="1:9" hidden="1" x14ac:dyDescent="0.25">
      <c r="A167" s="102" t="s">
        <v>2905</v>
      </c>
      <c r="B167" s="103" t="s">
        <v>2906</v>
      </c>
      <c r="C167" s="104" t="s">
        <v>189</v>
      </c>
      <c r="D167" s="104">
        <v>0</v>
      </c>
      <c r="E167" s="158">
        <v>181.3</v>
      </c>
      <c r="F167" s="159">
        <f t="shared" si="6"/>
        <v>0</v>
      </c>
      <c r="G167" s="160" t="e">
        <f>IF(A167&lt;&gt;"",IF(AND(#REF!="Padrão",$H$4=#REF!),BDI!$B$17,IF(AND(#REF!="Padrão",$H$4=#REF!),BDI!$C$17,IF(AND(#REF!="Diferenciado",$H$4=#REF!),BDI!$G$17,IF(AND(#REF!="Diferenciado",$H$4=#REF!),BDI!$H$17,IF(#REF!="ZERO",0))))),"")</f>
        <v>#REF!</v>
      </c>
      <c r="H167" s="161" t="e">
        <f t="shared" si="7"/>
        <v>#REF!</v>
      </c>
      <c r="I167" s="159" t="e">
        <f t="shared" si="8"/>
        <v>#REF!</v>
      </c>
    </row>
    <row r="168" spans="1:9" hidden="1" x14ac:dyDescent="0.25">
      <c r="A168" s="102" t="s">
        <v>2907</v>
      </c>
      <c r="B168" s="103" t="s">
        <v>2908</v>
      </c>
      <c r="C168" s="104" t="s">
        <v>189</v>
      </c>
      <c r="D168" s="104">
        <v>0</v>
      </c>
      <c r="E168" s="158">
        <v>81.849999999999994</v>
      </c>
      <c r="F168" s="159">
        <f t="shared" si="6"/>
        <v>0</v>
      </c>
      <c r="G168" s="160" t="e">
        <f>IF(A168&lt;&gt;"",IF(AND(#REF!="Padrão",$H$4=#REF!),BDI!$B$17,IF(AND(#REF!="Padrão",$H$4=#REF!),BDI!$C$17,IF(AND(#REF!="Diferenciado",$H$4=#REF!),BDI!$G$17,IF(AND(#REF!="Diferenciado",$H$4=#REF!),BDI!$H$17,IF(#REF!="ZERO",0))))),"")</f>
        <v>#REF!</v>
      </c>
      <c r="H168" s="161" t="e">
        <f t="shared" si="7"/>
        <v>#REF!</v>
      </c>
      <c r="I168" s="159" t="e">
        <f t="shared" si="8"/>
        <v>#REF!</v>
      </c>
    </row>
    <row r="169" spans="1:9" hidden="1" x14ac:dyDescent="0.25">
      <c r="A169" s="102" t="s">
        <v>2909</v>
      </c>
      <c r="B169" s="103" t="s">
        <v>2910</v>
      </c>
      <c r="C169" s="104" t="s">
        <v>189</v>
      </c>
      <c r="D169" s="104">
        <v>0</v>
      </c>
      <c r="E169" s="158" t="s">
        <v>1079</v>
      </c>
      <c r="F169" s="159" t="str">
        <f t="shared" si="6"/>
        <v/>
      </c>
      <c r="G169" s="160" t="e">
        <f>IF(A169&lt;&gt;"",IF(AND(#REF!="Padrão",$H$4=#REF!),BDI!$B$17,IF(AND(#REF!="Padrão",$H$4=#REF!),BDI!$C$17,IF(AND(#REF!="Diferenciado",$H$4=#REF!),BDI!$G$17,IF(AND(#REF!="Diferenciado",$H$4=#REF!),BDI!$H$17,IF(#REF!="ZERO",0))))),"")</f>
        <v>#REF!</v>
      </c>
      <c r="H169" s="161" t="str">
        <f t="shared" si="7"/>
        <v/>
      </c>
      <c r="I169" s="159" t="str">
        <f t="shared" si="8"/>
        <v/>
      </c>
    </row>
    <row r="170" spans="1:9" hidden="1" x14ac:dyDescent="0.25">
      <c r="A170" s="102" t="s">
        <v>2911</v>
      </c>
      <c r="B170" s="103" t="s">
        <v>2912</v>
      </c>
      <c r="C170" s="104" t="s">
        <v>189</v>
      </c>
      <c r="D170" s="104">
        <v>0</v>
      </c>
      <c r="E170" s="158" t="s">
        <v>1079</v>
      </c>
      <c r="F170" s="159" t="str">
        <f t="shared" si="6"/>
        <v/>
      </c>
      <c r="G170" s="160" t="e">
        <f>IF(A170&lt;&gt;"",IF(AND(#REF!="Padrão",$H$4=#REF!),BDI!$B$17,IF(AND(#REF!="Padrão",$H$4=#REF!),BDI!$C$17,IF(AND(#REF!="Diferenciado",$H$4=#REF!),BDI!$G$17,IF(AND(#REF!="Diferenciado",$H$4=#REF!),BDI!$H$17,IF(#REF!="ZERO",0))))),"")</f>
        <v>#REF!</v>
      </c>
      <c r="H170" s="161" t="str">
        <f t="shared" si="7"/>
        <v/>
      </c>
      <c r="I170" s="159" t="str">
        <f t="shared" si="8"/>
        <v/>
      </c>
    </row>
    <row r="171" spans="1:9" hidden="1" x14ac:dyDescent="0.25">
      <c r="A171" s="102" t="s">
        <v>639</v>
      </c>
      <c r="B171" s="103" t="s">
        <v>2913</v>
      </c>
      <c r="C171" s="104" t="s">
        <v>32</v>
      </c>
      <c r="D171" s="104">
        <v>0</v>
      </c>
      <c r="E171" s="158">
        <f ca="1">OFFSET(INDEX(Composições!A:J,MATCH(Orçamentária!A171,Composições!A:A,0),10),2,0)</f>
        <v>5.5442</v>
      </c>
      <c r="F171" s="159">
        <f t="shared" ca="1" si="6"/>
        <v>0</v>
      </c>
      <c r="G171" s="160" t="e">
        <f>IF(A171&lt;&gt;"",IF(AND(#REF!="Padrão",$H$4=#REF!),BDI!$B$17,IF(AND(#REF!="Padrão",$H$4=#REF!),BDI!$C$17,IF(AND(#REF!="Diferenciado",$H$4=#REF!),BDI!$G$17,IF(AND(#REF!="Diferenciado",$H$4=#REF!),BDI!$H$17,IF(#REF!="ZERO",0))))),"")</f>
        <v>#REF!</v>
      </c>
      <c r="H171" s="161" t="e">
        <f t="shared" ca="1" si="7"/>
        <v>#REF!</v>
      </c>
      <c r="I171" s="198" t="e">
        <f t="shared" ca="1" si="8"/>
        <v>#REF!</v>
      </c>
    </row>
    <row r="172" spans="1:9" x14ac:dyDescent="0.25">
      <c r="A172" s="204" t="s">
        <v>646</v>
      </c>
      <c r="B172" s="205" t="s">
        <v>2914</v>
      </c>
      <c r="C172" s="206" t="s">
        <v>184</v>
      </c>
      <c r="D172" s="206">
        <v>24.73</v>
      </c>
      <c r="E172" s="158">
        <f ca="1">OFFSET(INDEX(Composições!A:J,MATCH(Orçamentária!A172,Composições!A:A,0),10),2,0)</f>
        <v>44.003230500000001</v>
      </c>
      <c r="F172" s="159">
        <f t="shared" ca="1" si="6"/>
        <v>1088.199890265</v>
      </c>
      <c r="G172" s="160">
        <f>BDI!$C$17</f>
        <v>0.24479999999999999</v>
      </c>
      <c r="H172" s="161">
        <f t="shared" ca="1" si="7"/>
        <v>54.78</v>
      </c>
      <c r="I172" s="202">
        <f t="shared" ca="1" si="8"/>
        <v>1354.71</v>
      </c>
    </row>
    <row r="173" spans="1:9" x14ac:dyDescent="0.25">
      <c r="A173" s="204" t="s">
        <v>656</v>
      </c>
      <c r="B173" s="205" t="s">
        <v>2915</v>
      </c>
      <c r="C173" s="206" t="s">
        <v>184</v>
      </c>
      <c r="D173" s="206">
        <v>4.5999999999999996</v>
      </c>
      <c r="E173" s="158">
        <f ca="1">OFFSET(INDEX(Composições!A:J,MATCH(Orçamentária!A173,Composições!A:A,0),10),2,0)</f>
        <v>13.699266000000001</v>
      </c>
      <c r="F173" s="159">
        <f t="shared" ca="1" si="6"/>
        <v>63.016623600000003</v>
      </c>
      <c r="G173" s="160">
        <f>BDI!$C$17</f>
        <v>0.24479999999999999</v>
      </c>
      <c r="H173" s="161">
        <f t="shared" ca="1" si="7"/>
        <v>17.05</v>
      </c>
      <c r="I173" s="199">
        <f t="shared" ca="1" si="8"/>
        <v>78.430000000000007</v>
      </c>
    </row>
    <row r="174" spans="1:9" x14ac:dyDescent="0.25">
      <c r="A174" s="204" t="s">
        <v>660</v>
      </c>
      <c r="B174" s="205" t="s">
        <v>2916</v>
      </c>
      <c r="C174" s="206" t="s">
        <v>184</v>
      </c>
      <c r="D174" s="206">
        <v>11.9</v>
      </c>
      <c r="E174" s="158">
        <f ca="1">OFFSET(INDEX(Composições!A:J,MATCH(Orçamentária!A174,Composições!A:A,0),10),2,0)</f>
        <v>18.8138285</v>
      </c>
      <c r="F174" s="159">
        <f t="shared" ca="1" si="6"/>
        <v>223.88455915</v>
      </c>
      <c r="G174" s="160">
        <f>BDI!$C$17</f>
        <v>0.24479999999999999</v>
      </c>
      <c r="H174" s="161">
        <f t="shared" ca="1" si="7"/>
        <v>23.42</v>
      </c>
      <c r="I174" s="199">
        <f t="shared" ca="1" si="8"/>
        <v>278.7</v>
      </c>
    </row>
    <row r="175" spans="1:9" x14ac:dyDescent="0.25">
      <c r="A175" s="204" t="s">
        <v>664</v>
      </c>
      <c r="B175" s="205" t="s">
        <v>2917</v>
      </c>
      <c r="C175" s="206" t="s">
        <v>184</v>
      </c>
      <c r="D175" s="206">
        <v>21.06</v>
      </c>
      <c r="E175" s="158">
        <f ca="1">OFFSET(INDEX(Composições!A:J,MATCH(Orçamentária!A175,Composições!A:A,0),10),2,0)</f>
        <v>28.046935499999996</v>
      </c>
      <c r="F175" s="159">
        <f t="shared" ca="1" si="6"/>
        <v>590.66846162999991</v>
      </c>
      <c r="G175" s="160">
        <f>BDI!$C$17</f>
        <v>0.24479999999999999</v>
      </c>
      <c r="H175" s="161">
        <f t="shared" ca="1" si="7"/>
        <v>34.909999999999997</v>
      </c>
      <c r="I175" s="199">
        <f t="shared" ca="1" si="8"/>
        <v>735.2</v>
      </c>
    </row>
    <row r="176" spans="1:9" x14ac:dyDescent="0.25">
      <c r="A176" s="204" t="s">
        <v>668</v>
      </c>
      <c r="B176" s="205" t="s">
        <v>2918</v>
      </c>
      <c r="C176" s="206" t="s">
        <v>184</v>
      </c>
      <c r="D176" s="206">
        <v>40.659999999999997</v>
      </c>
      <c r="E176" s="158">
        <f ca="1">OFFSET(INDEX(Composições!A:J,MATCH(Orçamentária!A176,Composições!A:A,0),10),2,0)</f>
        <v>3.3484364999999996</v>
      </c>
      <c r="F176" s="159">
        <f t="shared" ca="1" si="6"/>
        <v>136.14742808999998</v>
      </c>
      <c r="G176" s="160">
        <f>BDI!$C$17</f>
        <v>0.24479999999999999</v>
      </c>
      <c r="H176" s="161">
        <f t="shared" ca="1" si="7"/>
        <v>4.17</v>
      </c>
      <c r="I176" s="199">
        <f t="shared" ca="1" si="8"/>
        <v>169.55</v>
      </c>
    </row>
    <row r="177" spans="1:9" x14ac:dyDescent="0.25">
      <c r="A177" s="204" t="s">
        <v>672</v>
      </c>
      <c r="B177" s="205" t="s">
        <v>2919</v>
      </c>
      <c r="C177" s="206" t="s">
        <v>184</v>
      </c>
      <c r="D177" s="206">
        <v>27</v>
      </c>
      <c r="E177" s="158">
        <f ca="1">OFFSET(INDEX(Composições!A:J,MATCH(Orçamentária!A177,Composições!A:A,0),10),2,0)</f>
        <v>6.9800869999999993</v>
      </c>
      <c r="F177" s="159">
        <f t="shared" ca="1" si="6"/>
        <v>188.46234899999999</v>
      </c>
      <c r="G177" s="160">
        <f>BDI!$C$17</f>
        <v>0.24479999999999999</v>
      </c>
      <c r="H177" s="161">
        <f t="shared" ca="1" si="7"/>
        <v>8.69</v>
      </c>
      <c r="I177" s="199">
        <f t="shared" ca="1" si="8"/>
        <v>234.63</v>
      </c>
    </row>
    <row r="178" spans="1:9" hidden="1" x14ac:dyDescent="0.25">
      <c r="A178" s="102" t="s">
        <v>676</v>
      </c>
      <c r="B178" s="103" t="s">
        <v>2920</v>
      </c>
      <c r="C178" s="104" t="s">
        <v>184</v>
      </c>
      <c r="D178" s="104">
        <v>0</v>
      </c>
      <c r="E178" s="158">
        <f ca="1">OFFSET(INDEX(Composições!A:J,MATCH(Orçamentária!A178,Composições!A:A,0),10),2,0)</f>
        <v>10.009352</v>
      </c>
      <c r="F178" s="159">
        <f t="shared" ca="1" si="6"/>
        <v>0</v>
      </c>
      <c r="G178" s="160" t="e">
        <f>IF(A178&lt;&gt;"",IF(AND(#REF!="Padrão",$H$4=#REF!),BDI!$B$17,IF(AND(#REF!="Padrão",$H$4=#REF!),BDI!$C$17,IF(AND(#REF!="Diferenciado",$H$4=#REF!),BDI!$G$17,IF(AND(#REF!="Diferenciado",$H$4=#REF!),BDI!$H$17,IF(#REF!="ZERO",0))))),"")</f>
        <v>#REF!</v>
      </c>
      <c r="H178" s="161" t="e">
        <f t="shared" ca="1" si="7"/>
        <v>#REF!</v>
      </c>
      <c r="I178" s="198" t="e">
        <f t="shared" ca="1" si="8"/>
        <v>#REF!</v>
      </c>
    </row>
    <row r="179" spans="1:9" x14ac:dyDescent="0.25">
      <c r="A179" s="204" t="s">
        <v>680</v>
      </c>
      <c r="B179" s="205" t="s">
        <v>2921</v>
      </c>
      <c r="C179" s="206" t="s">
        <v>184</v>
      </c>
      <c r="D179" s="206">
        <v>22.55</v>
      </c>
      <c r="E179" s="158">
        <f ca="1">OFFSET(INDEX(Composições!A:J,MATCH(Orçamentária!A179,Composições!A:A,0),10),2,0)</f>
        <v>11.520621499999997</v>
      </c>
      <c r="F179" s="159">
        <f t="shared" ca="1" si="6"/>
        <v>259.79001482499996</v>
      </c>
      <c r="G179" s="160">
        <f>BDI!$C$17</f>
        <v>0.24479999999999999</v>
      </c>
      <c r="H179" s="161">
        <f t="shared" ca="1" si="7"/>
        <v>14.34</v>
      </c>
      <c r="I179" s="202">
        <f t="shared" ca="1" si="8"/>
        <v>323.37</v>
      </c>
    </row>
    <row r="180" spans="1:9" x14ac:dyDescent="0.25">
      <c r="A180" s="204" t="s">
        <v>684</v>
      </c>
      <c r="B180" s="205" t="s">
        <v>2922</v>
      </c>
      <c r="C180" s="206" t="s">
        <v>32</v>
      </c>
      <c r="D180" s="206">
        <v>4</v>
      </c>
      <c r="E180" s="158">
        <f ca="1">OFFSET(INDEX(Composições!A:J,MATCH(Orçamentária!A180,Composições!A:A,0),10),2,0)</f>
        <v>40.389538999999999</v>
      </c>
      <c r="F180" s="159">
        <f t="shared" ca="1" si="6"/>
        <v>161.558156</v>
      </c>
      <c r="G180" s="160">
        <f>BDI!$C$17</f>
        <v>0.24479999999999999</v>
      </c>
      <c r="H180" s="161">
        <f t="shared" ca="1" si="7"/>
        <v>50.28</v>
      </c>
      <c r="I180" s="199">
        <f t="shared" ca="1" si="8"/>
        <v>201.12</v>
      </c>
    </row>
    <row r="181" spans="1:9" x14ac:dyDescent="0.25">
      <c r="A181" s="204" t="s">
        <v>691</v>
      </c>
      <c r="B181" s="205" t="s">
        <v>2923</v>
      </c>
      <c r="C181" s="206" t="s">
        <v>32</v>
      </c>
      <c r="D181" s="206">
        <v>7</v>
      </c>
      <c r="E181" s="158">
        <f ca="1">OFFSET(INDEX(Composições!A:J,MATCH(Orçamentária!A181,Composições!A:A,0),10),2,0)</f>
        <v>52.709163499999995</v>
      </c>
      <c r="F181" s="159">
        <f t="shared" ca="1" si="6"/>
        <v>368.96414449999997</v>
      </c>
      <c r="G181" s="160">
        <f>BDI!$C$17</f>
        <v>0.24479999999999999</v>
      </c>
      <c r="H181" s="161">
        <f t="shared" ca="1" si="7"/>
        <v>65.61</v>
      </c>
      <c r="I181" s="199">
        <f t="shared" ca="1" si="8"/>
        <v>459.27</v>
      </c>
    </row>
    <row r="182" spans="1:9" x14ac:dyDescent="0.25">
      <c r="A182" s="204" t="s">
        <v>699</v>
      </c>
      <c r="B182" s="205" t="s">
        <v>2924</v>
      </c>
      <c r="C182" s="206" t="s">
        <v>32</v>
      </c>
      <c r="D182" s="206">
        <v>2</v>
      </c>
      <c r="E182" s="158">
        <f ca="1">OFFSET(INDEX(Composições!A:J,MATCH(Orçamentária!A182,Composições!A:A,0),10),2,0)</f>
        <v>90.984663500000011</v>
      </c>
      <c r="F182" s="159">
        <f t="shared" ca="1" si="6"/>
        <v>181.96932700000002</v>
      </c>
      <c r="G182" s="160">
        <f>BDI!$C$17</f>
        <v>0.24479999999999999</v>
      </c>
      <c r="H182" s="161">
        <f t="shared" ca="1" si="7"/>
        <v>113.26</v>
      </c>
      <c r="I182" s="199">
        <f t="shared" ca="1" si="8"/>
        <v>226.52</v>
      </c>
    </row>
    <row r="183" spans="1:9" hidden="1" x14ac:dyDescent="0.25">
      <c r="A183" s="102" t="s">
        <v>703</v>
      </c>
      <c r="B183" s="103" t="s">
        <v>2925</v>
      </c>
      <c r="C183" s="104" t="s">
        <v>32</v>
      </c>
      <c r="D183" s="104">
        <v>0</v>
      </c>
      <c r="E183" s="158">
        <f ca="1">OFFSET(INDEX(Composições!A:J,MATCH(Orçamentária!A183,Composições!A:A,0),10),2,0)</f>
        <v>2.1488999999999998</v>
      </c>
      <c r="F183" s="159">
        <f t="shared" ca="1" si="6"/>
        <v>0</v>
      </c>
      <c r="G183" s="160" t="e">
        <f>IF(A183&lt;&gt;"",IF(AND(#REF!="Padrão",$H$4=#REF!),BDI!$B$17,IF(AND(#REF!="Padrão",$H$4=#REF!),BDI!$C$17,IF(AND(#REF!="Diferenciado",$H$4=#REF!),BDI!$G$17,IF(AND(#REF!="Diferenciado",$H$4=#REF!),BDI!$H$17,IF(#REF!="ZERO",0))))),"")</f>
        <v>#REF!</v>
      </c>
      <c r="H183" s="161" t="e">
        <f t="shared" ca="1" si="7"/>
        <v>#REF!</v>
      </c>
      <c r="I183" s="198" t="e">
        <f t="shared" ca="1" si="8"/>
        <v>#REF!</v>
      </c>
    </row>
    <row r="184" spans="1:9" x14ac:dyDescent="0.25">
      <c r="A184" s="204" t="s">
        <v>707</v>
      </c>
      <c r="B184" s="205" t="s">
        <v>2926</v>
      </c>
      <c r="C184" s="206" t="s">
        <v>32</v>
      </c>
      <c r="D184" s="206">
        <v>7</v>
      </c>
      <c r="E184" s="158">
        <f ca="1">OFFSET(INDEX(Composições!A:J,MATCH(Orçamentária!A184,Composições!A:A,0),10),2,0)</f>
        <v>49.078899999999997</v>
      </c>
      <c r="F184" s="159">
        <f t="shared" ca="1" si="6"/>
        <v>343.5523</v>
      </c>
      <c r="G184" s="160">
        <f>BDI!$C$17</f>
        <v>0.24479999999999999</v>
      </c>
      <c r="H184" s="161">
        <f t="shared" ca="1" si="7"/>
        <v>61.09</v>
      </c>
      <c r="I184" s="202">
        <f t="shared" ca="1" si="8"/>
        <v>427.63</v>
      </c>
    </row>
    <row r="185" spans="1:9" hidden="1" x14ac:dyDescent="0.25">
      <c r="A185" s="102" t="s">
        <v>709</v>
      </c>
      <c r="B185" s="103" t="s">
        <v>2927</v>
      </c>
      <c r="C185" s="104" t="s">
        <v>32</v>
      </c>
      <c r="D185" s="104">
        <v>0</v>
      </c>
      <c r="E185" s="158">
        <f ca="1">OFFSET(INDEX(Composições!A:J,MATCH(Orçamentária!A185,Composições!A:A,0),10),2,0)</f>
        <v>8.6811284999999998</v>
      </c>
      <c r="F185" s="159">
        <f t="shared" ca="1" si="6"/>
        <v>0</v>
      </c>
      <c r="G185" s="160" t="e">
        <f>IF(A185&lt;&gt;"",IF(AND(#REF!="Padrão",$H$4=#REF!),BDI!$B$17,IF(AND(#REF!="Padrão",$H$4=#REF!),BDI!$C$17,IF(AND(#REF!="Diferenciado",$H$4=#REF!),BDI!$G$17,IF(AND(#REF!="Diferenciado",$H$4=#REF!),BDI!$H$17,IF(#REF!="ZERO",0))))),"")</f>
        <v>#REF!</v>
      </c>
      <c r="H185" s="161" t="e">
        <f t="shared" ca="1" si="7"/>
        <v>#REF!</v>
      </c>
      <c r="I185" s="159" t="e">
        <f t="shared" ca="1" si="8"/>
        <v>#REF!</v>
      </c>
    </row>
    <row r="186" spans="1:9" hidden="1" x14ac:dyDescent="0.25">
      <c r="A186" s="102" t="s">
        <v>713</v>
      </c>
      <c r="B186" s="103" t="s">
        <v>2928</v>
      </c>
      <c r="C186" s="104" t="s">
        <v>32</v>
      </c>
      <c r="D186" s="104">
        <v>0</v>
      </c>
      <c r="E186" s="158">
        <f ca="1">OFFSET(INDEX(Composições!A:J,MATCH(Orçamentária!A186,Composições!A:A,0),10),2,0)</f>
        <v>1.4325999999999999</v>
      </c>
      <c r="F186" s="159">
        <f t="shared" ca="1" si="6"/>
        <v>0</v>
      </c>
      <c r="G186" s="160" t="e">
        <f>IF(A186&lt;&gt;"",IF(AND(#REF!="Padrão",$H$4=#REF!),BDI!$B$17,IF(AND(#REF!="Padrão",$H$4=#REF!),BDI!$C$17,IF(AND(#REF!="Diferenciado",$H$4=#REF!),BDI!$G$17,IF(AND(#REF!="Diferenciado",$H$4=#REF!),BDI!$H$17,IF(#REF!="ZERO",0))))),"")</f>
        <v>#REF!</v>
      </c>
      <c r="H186" s="161" t="e">
        <f t="shared" ca="1" si="7"/>
        <v>#REF!</v>
      </c>
      <c r="I186" s="159" t="e">
        <f t="shared" ca="1" si="8"/>
        <v>#REF!</v>
      </c>
    </row>
    <row r="187" spans="1:9" hidden="1" x14ac:dyDescent="0.25">
      <c r="A187" s="102" t="s">
        <v>717</v>
      </c>
      <c r="B187" s="103" t="s">
        <v>2929</v>
      </c>
      <c r="C187" s="104" t="s">
        <v>32</v>
      </c>
      <c r="D187" s="104">
        <v>0</v>
      </c>
      <c r="E187" s="158">
        <f ca="1">OFFSET(INDEX(Composições!A:J,MATCH(Orçamentária!A187,Composições!A:A,0),10),2,0)</f>
        <v>167.71369919999998</v>
      </c>
      <c r="F187" s="159">
        <f t="shared" ca="1" si="6"/>
        <v>0</v>
      </c>
      <c r="G187" s="160" t="e">
        <f>IF(A187&lt;&gt;"",IF(AND(#REF!="Padrão",$H$4=#REF!),BDI!$B$17,IF(AND(#REF!="Padrão",$H$4=#REF!),BDI!$C$17,IF(AND(#REF!="Diferenciado",$H$4=#REF!),BDI!$G$17,IF(AND(#REF!="Diferenciado",$H$4=#REF!),BDI!$H$17,IF(#REF!="ZERO",0))))),"")</f>
        <v>#REF!</v>
      </c>
      <c r="H187" s="161" t="e">
        <f t="shared" ca="1" si="7"/>
        <v>#REF!</v>
      </c>
      <c r="I187" s="159" t="e">
        <f t="shared" ca="1" si="8"/>
        <v>#REF!</v>
      </c>
    </row>
    <row r="188" spans="1:9" hidden="1" x14ac:dyDescent="0.25">
      <c r="A188" s="102" t="s">
        <v>724</v>
      </c>
      <c r="B188" s="103" t="s">
        <v>2930</v>
      </c>
      <c r="C188" s="104" t="s">
        <v>32</v>
      </c>
      <c r="D188" s="104">
        <v>0</v>
      </c>
      <c r="E188" s="158">
        <f ca="1">OFFSET(INDEX(Composições!A:J,MATCH(Orçamentária!A188,Composições!A:A,0),10),2,0)</f>
        <v>61.218699200000003</v>
      </c>
      <c r="F188" s="159">
        <f t="shared" ca="1" si="6"/>
        <v>0</v>
      </c>
      <c r="G188" s="160" t="e">
        <f>IF(A188&lt;&gt;"",IF(AND(#REF!="Padrão",$H$4=#REF!),BDI!$B$17,IF(AND(#REF!="Padrão",$H$4=#REF!),BDI!$C$17,IF(AND(#REF!="Diferenciado",$H$4=#REF!),BDI!$G$17,IF(AND(#REF!="Diferenciado",$H$4=#REF!),BDI!$H$17,IF(#REF!="ZERO",0))))),"")</f>
        <v>#REF!</v>
      </c>
      <c r="H188" s="161" t="e">
        <f t="shared" ca="1" si="7"/>
        <v>#REF!</v>
      </c>
      <c r="I188" s="159" t="e">
        <f t="shared" ca="1" si="8"/>
        <v>#REF!</v>
      </c>
    </row>
    <row r="189" spans="1:9" hidden="1" x14ac:dyDescent="0.25">
      <c r="A189" s="102" t="s">
        <v>728</v>
      </c>
      <c r="B189" s="103" t="s">
        <v>2931</v>
      </c>
      <c r="C189" s="104" t="s">
        <v>32</v>
      </c>
      <c r="D189" s="104">
        <v>0</v>
      </c>
      <c r="E189" s="158">
        <f ca="1">OFFSET(INDEX(Composições!A:J,MATCH(Orçamentária!A189,Composições!A:A,0),10),2,0)</f>
        <v>31.83332485</v>
      </c>
      <c r="F189" s="159">
        <f t="shared" ca="1" si="6"/>
        <v>0</v>
      </c>
      <c r="G189" s="160" t="e">
        <f>IF(A189&lt;&gt;"",IF(AND(#REF!="Padrão",$H$4=#REF!),BDI!$B$17,IF(AND(#REF!="Padrão",$H$4=#REF!),BDI!$C$17,IF(AND(#REF!="Diferenciado",$H$4=#REF!),BDI!$G$17,IF(AND(#REF!="Diferenciado",$H$4=#REF!),BDI!$H$17,IF(#REF!="ZERO",0))))),"")</f>
        <v>#REF!</v>
      </c>
      <c r="H189" s="161" t="e">
        <f t="shared" ca="1" si="7"/>
        <v>#REF!</v>
      </c>
      <c r="I189" s="159" t="e">
        <f t="shared" ca="1" si="8"/>
        <v>#REF!</v>
      </c>
    </row>
    <row r="190" spans="1:9" hidden="1" x14ac:dyDescent="0.25">
      <c r="A190" s="102" t="s">
        <v>734</v>
      </c>
      <c r="B190" s="103" t="s">
        <v>2932</v>
      </c>
      <c r="C190" s="104" t="s">
        <v>32</v>
      </c>
      <c r="D190" s="104">
        <v>0</v>
      </c>
      <c r="E190" s="158">
        <f ca="1">OFFSET(INDEX(Composições!A:J,MATCH(Orçamentária!A190,Composições!A:A,0),10),2,0)</f>
        <v>17.9341209</v>
      </c>
      <c r="F190" s="159">
        <f t="shared" ca="1" si="6"/>
        <v>0</v>
      </c>
      <c r="G190" s="160" t="e">
        <f>IF(A190&lt;&gt;"",IF(AND(#REF!="Padrão",$H$4=#REF!),BDI!$B$17,IF(AND(#REF!="Padrão",$H$4=#REF!),BDI!$C$17,IF(AND(#REF!="Diferenciado",$H$4=#REF!),BDI!$G$17,IF(AND(#REF!="Diferenciado",$H$4=#REF!),BDI!$H$17,IF(#REF!="ZERO",0))))),"")</f>
        <v>#REF!</v>
      </c>
      <c r="H190" s="161" t="e">
        <f t="shared" ca="1" si="7"/>
        <v>#REF!</v>
      </c>
      <c r="I190" s="159" t="e">
        <f t="shared" ca="1" si="8"/>
        <v>#REF!</v>
      </c>
    </row>
    <row r="191" spans="1:9" hidden="1" x14ac:dyDescent="0.25">
      <c r="A191" s="102" t="s">
        <v>738</v>
      </c>
      <c r="B191" s="103" t="s">
        <v>2933</v>
      </c>
      <c r="C191" s="104" t="s">
        <v>32</v>
      </c>
      <c r="D191" s="104">
        <v>0</v>
      </c>
      <c r="E191" s="158">
        <f ca="1">OFFSET(INDEX(Composições!A:J,MATCH(Orçamentária!A191,Composições!A:A,0),10),2,0)</f>
        <v>31.83332485</v>
      </c>
      <c r="F191" s="159">
        <f t="shared" ca="1" si="6"/>
        <v>0</v>
      </c>
      <c r="G191" s="160" t="e">
        <f>IF(A191&lt;&gt;"",IF(AND(#REF!="Padrão",$H$4=#REF!),BDI!$B$17,IF(AND(#REF!="Padrão",$H$4=#REF!),BDI!$C$17,IF(AND(#REF!="Diferenciado",$H$4=#REF!),BDI!$G$17,IF(AND(#REF!="Diferenciado",$H$4=#REF!),BDI!$H$17,IF(#REF!="ZERO",0))))),"")</f>
        <v>#REF!</v>
      </c>
      <c r="H191" s="161" t="e">
        <f t="shared" ca="1" si="7"/>
        <v>#REF!</v>
      </c>
      <c r="I191" s="159" t="e">
        <f t="shared" ca="1" si="8"/>
        <v>#REF!</v>
      </c>
    </row>
    <row r="192" spans="1:9" hidden="1" x14ac:dyDescent="0.25">
      <c r="A192" s="102" t="s">
        <v>740</v>
      </c>
      <c r="B192" s="103" t="s">
        <v>2934</v>
      </c>
      <c r="C192" s="104" t="s">
        <v>32</v>
      </c>
      <c r="D192" s="104">
        <v>0</v>
      </c>
      <c r="E192" s="158">
        <f ca="1">OFFSET(INDEX(Composições!A:J,MATCH(Orçamentária!A192,Composições!A:A,0),10),2,0)</f>
        <v>36.609872599999996</v>
      </c>
      <c r="F192" s="159">
        <f t="shared" ca="1" si="6"/>
        <v>0</v>
      </c>
      <c r="G192" s="160" t="e">
        <f>IF(A192&lt;&gt;"",IF(AND(#REF!="Padrão",$H$4=#REF!),BDI!$B$17,IF(AND(#REF!="Padrão",$H$4=#REF!),BDI!$C$17,IF(AND(#REF!="Diferenciado",$H$4=#REF!),BDI!$G$17,IF(AND(#REF!="Diferenciado",$H$4=#REF!),BDI!$H$17,IF(#REF!="ZERO",0))))),"")</f>
        <v>#REF!</v>
      </c>
      <c r="H192" s="161" t="e">
        <f t="shared" ca="1" si="7"/>
        <v>#REF!</v>
      </c>
      <c r="I192" s="159" t="e">
        <f t="shared" ca="1" si="8"/>
        <v>#REF!</v>
      </c>
    </row>
    <row r="193" spans="1:9" hidden="1" x14ac:dyDescent="0.25">
      <c r="A193" s="102" t="s">
        <v>745</v>
      </c>
      <c r="B193" s="103" t="s">
        <v>2935</v>
      </c>
      <c r="C193" s="104" t="s">
        <v>32</v>
      </c>
      <c r="D193" s="104">
        <v>0</v>
      </c>
      <c r="E193" s="158">
        <f ca="1">OFFSET(INDEX(Composições!A:J,MATCH(Orçamentária!A193,Composições!A:A,0),10),2,0)</f>
        <v>36.710688499999996</v>
      </c>
      <c r="F193" s="159">
        <f t="shared" ca="1" si="6"/>
        <v>0</v>
      </c>
      <c r="G193" s="160" t="e">
        <f>IF(A193&lt;&gt;"",IF(AND(#REF!="Padrão",$H$4=#REF!),BDI!$B$17,IF(AND(#REF!="Padrão",$H$4=#REF!),BDI!$C$17,IF(AND(#REF!="Diferenciado",$H$4=#REF!),BDI!$G$17,IF(AND(#REF!="Diferenciado",$H$4=#REF!),BDI!$H$17,IF(#REF!="ZERO",0))))),"")</f>
        <v>#REF!</v>
      </c>
      <c r="H193" s="161" t="e">
        <f t="shared" ca="1" si="7"/>
        <v>#REF!</v>
      </c>
      <c r="I193" s="159" t="e">
        <f t="shared" ca="1" si="8"/>
        <v>#REF!</v>
      </c>
    </row>
    <row r="194" spans="1:9" hidden="1" x14ac:dyDescent="0.25">
      <c r="A194" s="102" t="s">
        <v>751</v>
      </c>
      <c r="B194" s="103" t="s">
        <v>2936</v>
      </c>
      <c r="C194" s="104" t="s">
        <v>32</v>
      </c>
      <c r="D194" s="104">
        <v>0</v>
      </c>
      <c r="E194" s="158">
        <f ca="1">OFFSET(INDEX(Composições!A:J,MATCH(Orçamentária!A194,Composições!A:A,0),10),2,0)</f>
        <v>52.634358600000006</v>
      </c>
      <c r="F194" s="159">
        <f t="shared" ca="1" si="6"/>
        <v>0</v>
      </c>
      <c r="G194" s="160" t="e">
        <f>IF(A194&lt;&gt;"",IF(AND(#REF!="Padrão",$H$4=#REF!),BDI!$B$17,IF(AND(#REF!="Padrão",$H$4=#REF!),BDI!$C$17,IF(AND(#REF!="Diferenciado",$H$4=#REF!),BDI!$G$17,IF(AND(#REF!="Diferenciado",$H$4=#REF!),BDI!$H$17,IF(#REF!="ZERO",0))))),"")</f>
        <v>#REF!</v>
      </c>
      <c r="H194" s="161" t="e">
        <f t="shared" ca="1" si="7"/>
        <v>#REF!</v>
      </c>
      <c r="I194" s="159" t="e">
        <f t="shared" ca="1" si="8"/>
        <v>#REF!</v>
      </c>
    </row>
    <row r="195" spans="1:9" hidden="1" x14ac:dyDescent="0.25">
      <c r="A195" s="102" t="s">
        <v>753</v>
      </c>
      <c r="B195" s="103" t="s">
        <v>2937</v>
      </c>
      <c r="C195" s="104" t="s">
        <v>32</v>
      </c>
      <c r="D195" s="104">
        <v>0</v>
      </c>
      <c r="E195" s="158">
        <f ca="1">OFFSET(INDEX(Composições!A:J,MATCH(Orçamentária!A195,Composições!A:A,0),10),2,0)</f>
        <v>105.34262530000001</v>
      </c>
      <c r="F195" s="159">
        <f t="shared" ca="1" si="6"/>
        <v>0</v>
      </c>
      <c r="G195" s="160" t="e">
        <f>IF(A195&lt;&gt;"",IF(AND(#REF!="Padrão",$H$4=#REF!),BDI!$B$17,IF(AND(#REF!="Padrão",$H$4=#REF!),BDI!$C$17,IF(AND(#REF!="Diferenciado",$H$4=#REF!),BDI!$G$17,IF(AND(#REF!="Diferenciado",$H$4=#REF!),BDI!$H$17,IF(#REF!="ZERO",0))))),"")</f>
        <v>#REF!</v>
      </c>
      <c r="H195" s="161" t="e">
        <f t="shared" ca="1" si="7"/>
        <v>#REF!</v>
      </c>
      <c r="I195" s="159" t="e">
        <f t="shared" ca="1" si="8"/>
        <v>#REF!</v>
      </c>
    </row>
    <row r="196" spans="1:9" hidden="1" x14ac:dyDescent="0.25">
      <c r="A196" s="102" t="s">
        <v>756</v>
      </c>
      <c r="B196" s="103" t="s">
        <v>2938</v>
      </c>
      <c r="C196" s="104" t="s">
        <v>32</v>
      </c>
      <c r="D196" s="104">
        <v>0</v>
      </c>
      <c r="E196" s="158">
        <f ca="1">OFFSET(INDEX(Composições!A:J,MATCH(Orçamentária!A196,Composições!A:A,0),10),2,0)</f>
        <v>278.83476599999995</v>
      </c>
      <c r="F196" s="159">
        <f t="shared" ca="1" si="6"/>
        <v>0</v>
      </c>
      <c r="G196" s="160" t="e">
        <f>IF(A196&lt;&gt;"",IF(AND(#REF!="Padrão",$H$4=#REF!),BDI!$B$17,IF(AND(#REF!="Padrão",$H$4=#REF!),BDI!$C$17,IF(AND(#REF!="Diferenciado",$H$4=#REF!),BDI!$G$17,IF(AND(#REF!="Diferenciado",$H$4=#REF!),BDI!$H$17,IF(#REF!="ZERO",0))))),"")</f>
        <v>#REF!</v>
      </c>
      <c r="H196" s="161" t="e">
        <f t="shared" ca="1" si="7"/>
        <v>#REF!</v>
      </c>
      <c r="I196" s="198" t="e">
        <f t="shared" ca="1" si="8"/>
        <v>#REF!</v>
      </c>
    </row>
    <row r="197" spans="1:9" x14ac:dyDescent="0.25">
      <c r="A197" s="204" t="s">
        <v>759</v>
      </c>
      <c r="B197" s="205" t="s">
        <v>2939</v>
      </c>
      <c r="C197" s="206" t="s">
        <v>32</v>
      </c>
      <c r="D197" s="206">
        <v>1</v>
      </c>
      <c r="E197" s="158">
        <f ca="1">OFFSET(INDEX(Composições!A:J,MATCH(Orçamentária!A197,Composições!A:A,0),10),2,0)</f>
        <v>426.34093000000001</v>
      </c>
      <c r="F197" s="159">
        <f t="shared" ca="1" si="6"/>
        <v>426.34093000000001</v>
      </c>
      <c r="G197" s="160">
        <f>BDI!$C$17</f>
        <v>0.24479999999999999</v>
      </c>
      <c r="H197" s="161">
        <f t="shared" ca="1" si="7"/>
        <v>530.71</v>
      </c>
      <c r="I197" s="202">
        <f t="shared" ca="1" si="8"/>
        <v>530.71</v>
      </c>
    </row>
    <row r="198" spans="1:9" x14ac:dyDescent="0.25">
      <c r="A198" s="204" t="s">
        <v>763</v>
      </c>
      <c r="B198" s="205" t="s">
        <v>2940</v>
      </c>
      <c r="C198" s="206" t="s">
        <v>32</v>
      </c>
      <c r="D198" s="206">
        <v>4</v>
      </c>
      <c r="E198" s="158">
        <f ca="1">OFFSET(INDEX(Composições!A:J,MATCH(Orçamentária!A198,Composições!A:A,0),10),2,0)</f>
        <v>48.66948</v>
      </c>
      <c r="F198" s="159">
        <f t="shared" ca="1" si="6"/>
        <v>194.67792</v>
      </c>
      <c r="G198" s="160">
        <f>BDI!$C$17</f>
        <v>0.24479999999999999</v>
      </c>
      <c r="H198" s="161">
        <f t="shared" ca="1" si="7"/>
        <v>60.58</v>
      </c>
      <c r="I198" s="199">
        <f t="shared" ca="1" si="8"/>
        <v>242.32</v>
      </c>
    </row>
    <row r="199" spans="1:9" hidden="1" x14ac:dyDescent="0.25">
      <c r="A199" s="102" t="s">
        <v>767</v>
      </c>
      <c r="B199" s="103" t="s">
        <v>2941</v>
      </c>
      <c r="C199" s="104" t="s">
        <v>32</v>
      </c>
      <c r="D199" s="104">
        <v>0</v>
      </c>
      <c r="E199" s="158">
        <f ca="1">OFFSET(INDEX(Composições!A:J,MATCH(Orçamentária!A199,Composições!A:A,0),10),2,0)</f>
        <v>1.4994800000000001</v>
      </c>
      <c r="F199" s="159">
        <f t="shared" ref="F199:F262" ca="1" si="9">IF(ISNUMBER(E199),D199*E199,"")</f>
        <v>0</v>
      </c>
      <c r="G199" s="160" t="e">
        <f>IF(A199&lt;&gt;"",IF(AND(#REF!="Padrão",$H$4=#REF!),BDI!$B$17,IF(AND(#REF!="Padrão",$H$4=#REF!),BDI!$C$17,IF(AND(#REF!="Diferenciado",$H$4=#REF!),BDI!$G$17,IF(AND(#REF!="Diferenciado",$H$4=#REF!),BDI!$H$17,IF(#REF!="ZERO",0))))),"")</f>
        <v>#REF!</v>
      </c>
      <c r="H199" s="161" t="e">
        <f t="shared" ref="H199:H262" ca="1" si="10">IF(ISNUMBER(E199),ROUND(E199*(1+G199),2),"")</f>
        <v>#REF!</v>
      </c>
      <c r="I199" s="159" t="e">
        <f t="shared" ref="I199:I262" ca="1" si="11">IF(ISNUMBER(E199),ROUND(H199*D199,2),"")</f>
        <v>#REF!</v>
      </c>
    </row>
    <row r="200" spans="1:9" hidden="1" x14ac:dyDescent="0.25">
      <c r="A200" s="102" t="s">
        <v>769</v>
      </c>
      <c r="B200" s="103" t="s">
        <v>2942</v>
      </c>
      <c r="C200" s="104" t="s">
        <v>32</v>
      </c>
      <c r="D200" s="104">
        <v>0</v>
      </c>
      <c r="E200" s="158">
        <f ca="1">OFFSET(INDEX(Composições!A:J,MATCH(Orçamentária!A200,Composições!A:A,0),10),2,0)</f>
        <v>16.758000000000003</v>
      </c>
      <c r="F200" s="159">
        <f t="shared" ca="1" si="9"/>
        <v>0</v>
      </c>
      <c r="G200" s="160" t="e">
        <f>IF(A200&lt;&gt;"",IF(AND(#REF!="Padrão",$H$4=#REF!),BDI!$B$17,IF(AND(#REF!="Padrão",$H$4=#REF!),BDI!$C$17,IF(AND(#REF!="Diferenciado",$H$4=#REF!),BDI!$G$17,IF(AND(#REF!="Diferenciado",$H$4=#REF!),BDI!$H$17,IF(#REF!="ZERO",0))))),"")</f>
        <v>#REF!</v>
      </c>
      <c r="H200" s="161" t="e">
        <f t="shared" ca="1" si="10"/>
        <v>#REF!</v>
      </c>
      <c r="I200" s="159" t="e">
        <f t="shared" ca="1" si="11"/>
        <v>#REF!</v>
      </c>
    </row>
    <row r="201" spans="1:9" hidden="1" x14ac:dyDescent="0.25">
      <c r="A201" s="102" t="s">
        <v>773</v>
      </c>
      <c r="B201" s="103" t="s">
        <v>2943</v>
      </c>
      <c r="C201" s="104" t="s">
        <v>32</v>
      </c>
      <c r="D201" s="104">
        <v>0</v>
      </c>
      <c r="E201" s="158">
        <f ca="1">OFFSET(INDEX(Composições!A:J,MATCH(Orçamentária!A201,Composições!A:A,0),10),2,0)</f>
        <v>3.3736571</v>
      </c>
      <c r="F201" s="159">
        <f t="shared" ca="1" si="9"/>
        <v>0</v>
      </c>
      <c r="G201" s="160" t="e">
        <f>IF(A201&lt;&gt;"",IF(AND(#REF!="Padrão",$H$4=#REF!),BDI!$B$17,IF(AND(#REF!="Padrão",$H$4=#REF!),BDI!$C$17,IF(AND(#REF!="Diferenciado",$H$4=#REF!),BDI!$G$17,IF(AND(#REF!="Diferenciado",$H$4=#REF!),BDI!$H$17,IF(#REF!="ZERO",0))))),"")</f>
        <v>#REF!</v>
      </c>
      <c r="H201" s="161" t="e">
        <f t="shared" ca="1" si="10"/>
        <v>#REF!</v>
      </c>
      <c r="I201" s="198" t="e">
        <f t="shared" ca="1" si="11"/>
        <v>#REF!</v>
      </c>
    </row>
    <row r="202" spans="1:9" x14ac:dyDescent="0.25">
      <c r="A202" s="204" t="s">
        <v>775</v>
      </c>
      <c r="B202" s="205" t="s">
        <v>2944</v>
      </c>
      <c r="C202" s="206" t="s">
        <v>32</v>
      </c>
      <c r="D202" s="206">
        <v>4</v>
      </c>
      <c r="E202" s="158">
        <f ca="1">OFFSET(INDEX(Composições!A:J,MATCH(Orçamentária!A202,Composições!A:A,0),10),2,0)</f>
        <v>31.128531249999998</v>
      </c>
      <c r="F202" s="159">
        <f t="shared" ca="1" si="9"/>
        <v>124.51412499999999</v>
      </c>
      <c r="G202" s="160">
        <f>BDI!$C$17</f>
        <v>0.24479999999999999</v>
      </c>
      <c r="H202" s="161">
        <f t="shared" ca="1" si="10"/>
        <v>38.75</v>
      </c>
      <c r="I202" s="202">
        <f t="shared" ca="1" si="11"/>
        <v>155</v>
      </c>
    </row>
    <row r="203" spans="1:9" hidden="1" x14ac:dyDescent="0.25">
      <c r="A203" s="102" t="s">
        <v>779</v>
      </c>
      <c r="B203" s="103" t="s">
        <v>2945</v>
      </c>
      <c r="C203" s="104" t="s">
        <v>32</v>
      </c>
      <c r="D203" s="104">
        <v>0</v>
      </c>
      <c r="E203" s="158">
        <f ca="1">OFFSET(INDEX(Composições!A:J,MATCH(Orçamentária!A203,Composições!A:A,0),10),2,0)</f>
        <v>6.4949600000000007</v>
      </c>
      <c r="F203" s="159">
        <f t="shared" ca="1" si="9"/>
        <v>0</v>
      </c>
      <c r="G203" s="160" t="e">
        <f>IF(A203&lt;&gt;"",IF(AND(#REF!="Padrão",$H$4=#REF!),BDI!$B$17,IF(AND(#REF!="Padrão",$H$4=#REF!),BDI!$C$17,IF(AND(#REF!="Diferenciado",$H$4=#REF!),BDI!$G$17,IF(AND(#REF!="Diferenciado",$H$4=#REF!),BDI!$H$17,IF(#REF!="ZERO",0))))),"")</f>
        <v>#REF!</v>
      </c>
      <c r="H203" s="161" t="e">
        <f t="shared" ca="1" si="10"/>
        <v>#REF!</v>
      </c>
      <c r="I203" s="159" t="e">
        <f t="shared" ca="1" si="11"/>
        <v>#REF!</v>
      </c>
    </row>
    <row r="204" spans="1:9" hidden="1" x14ac:dyDescent="0.25">
      <c r="A204" s="102" t="s">
        <v>783</v>
      </c>
      <c r="B204" s="103" t="s">
        <v>2946</v>
      </c>
      <c r="C204" s="104" t="s">
        <v>32</v>
      </c>
      <c r="D204" s="104">
        <v>0</v>
      </c>
      <c r="E204" s="158">
        <f ca="1">OFFSET(INDEX(Composições!A:J,MATCH(Orçamentária!A204,Composições!A:A,0),10),2,0)</f>
        <v>116.24845999999999</v>
      </c>
      <c r="F204" s="159">
        <f t="shared" ca="1" si="9"/>
        <v>0</v>
      </c>
      <c r="G204" s="160" t="e">
        <f>IF(A204&lt;&gt;"",IF(AND(#REF!="Padrão",$H$4=#REF!),BDI!$B$17,IF(AND(#REF!="Padrão",$H$4=#REF!),BDI!$C$17,IF(AND(#REF!="Diferenciado",$H$4=#REF!),BDI!$G$17,IF(AND(#REF!="Diferenciado",$H$4=#REF!),BDI!$H$17,IF(#REF!="ZERO",0))))),"")</f>
        <v>#REF!</v>
      </c>
      <c r="H204" s="161" t="e">
        <f t="shared" ca="1" si="10"/>
        <v>#REF!</v>
      </c>
      <c r="I204" s="198" t="e">
        <f t="shared" ca="1" si="11"/>
        <v>#REF!</v>
      </c>
    </row>
    <row r="205" spans="1:9" x14ac:dyDescent="0.25">
      <c r="A205" s="204" t="s">
        <v>786</v>
      </c>
      <c r="B205" s="205" t="s">
        <v>2947</v>
      </c>
      <c r="C205" s="206" t="s">
        <v>32</v>
      </c>
      <c r="D205" s="206">
        <v>2</v>
      </c>
      <c r="E205" s="158">
        <f ca="1">OFFSET(INDEX(Composições!A:J,MATCH(Orçamentária!A205,Composições!A:A,0),10),2,0)</f>
        <v>122.72745999999999</v>
      </c>
      <c r="F205" s="159">
        <f t="shared" ca="1" si="9"/>
        <v>245.45491999999999</v>
      </c>
      <c r="G205" s="160">
        <f>BDI!$C$17</f>
        <v>0.24479999999999999</v>
      </c>
      <c r="H205" s="161">
        <f t="shared" ca="1" si="10"/>
        <v>152.77000000000001</v>
      </c>
      <c r="I205" s="202">
        <f t="shared" ca="1" si="11"/>
        <v>305.54000000000002</v>
      </c>
    </row>
    <row r="206" spans="1:9" x14ac:dyDescent="0.25">
      <c r="A206" s="204" t="s">
        <v>789</v>
      </c>
      <c r="B206" s="205" t="s">
        <v>2948</v>
      </c>
      <c r="C206" s="206" t="s">
        <v>32</v>
      </c>
      <c r="D206" s="206">
        <v>1</v>
      </c>
      <c r="E206" s="158">
        <f ca="1">OFFSET(INDEX(Composições!A:J,MATCH(Orçamentária!A206,Composições!A:A,0),10),2,0)</f>
        <v>304.82077899999996</v>
      </c>
      <c r="F206" s="159">
        <f t="shared" ca="1" si="9"/>
        <v>304.82077899999996</v>
      </c>
      <c r="G206" s="160">
        <f>BDI!$C$17</f>
        <v>0.24479999999999999</v>
      </c>
      <c r="H206" s="161">
        <f t="shared" ca="1" si="10"/>
        <v>379.44</v>
      </c>
      <c r="I206" s="199">
        <f t="shared" ca="1" si="11"/>
        <v>379.44</v>
      </c>
    </row>
    <row r="207" spans="1:9" hidden="1" x14ac:dyDescent="0.25">
      <c r="A207" s="102" t="s">
        <v>793</v>
      </c>
      <c r="B207" s="103" t="s">
        <v>2949</v>
      </c>
      <c r="C207" s="104" t="s">
        <v>32</v>
      </c>
      <c r="D207" s="104">
        <v>0</v>
      </c>
      <c r="E207" s="158">
        <f ca="1">OFFSET(INDEX(Composições!A:J,MATCH(Orçamentária!A207,Composições!A:A,0),10),2,0)</f>
        <v>3.9907790000000003</v>
      </c>
      <c r="F207" s="159">
        <f t="shared" ca="1" si="9"/>
        <v>0</v>
      </c>
      <c r="G207" s="160" t="e">
        <f>IF(A207&lt;&gt;"",IF(AND(#REF!="Padrão",$H$4=#REF!),BDI!$B$17,IF(AND(#REF!="Padrão",$H$4=#REF!),BDI!$C$17,IF(AND(#REF!="Diferenciado",$H$4=#REF!),BDI!$G$17,IF(AND(#REF!="Diferenciado",$H$4=#REF!),BDI!$H$17,IF(#REF!="ZERO",0))))),"")</f>
        <v>#REF!</v>
      </c>
      <c r="H207" s="161" t="e">
        <f t="shared" ca="1" si="10"/>
        <v>#REF!</v>
      </c>
      <c r="I207" s="159" t="e">
        <f t="shared" ca="1" si="11"/>
        <v>#REF!</v>
      </c>
    </row>
    <row r="208" spans="1:9" hidden="1" x14ac:dyDescent="0.25">
      <c r="A208" s="102" t="s">
        <v>795</v>
      </c>
      <c r="B208" s="103" t="s">
        <v>2950</v>
      </c>
      <c r="C208" s="104" t="s">
        <v>32</v>
      </c>
      <c r="D208" s="104">
        <v>0</v>
      </c>
      <c r="E208" s="158">
        <f ca="1">OFFSET(INDEX(Composições!A:J,MATCH(Orçamentária!A208,Composições!A:A,0),10),2,0)</f>
        <v>2.3922140000000001</v>
      </c>
      <c r="F208" s="159">
        <f t="shared" ca="1" si="9"/>
        <v>0</v>
      </c>
      <c r="G208" s="160" t="e">
        <f>IF(A208&lt;&gt;"",IF(AND(#REF!="Padrão",$H$4=#REF!),BDI!$B$17,IF(AND(#REF!="Padrão",$H$4=#REF!),BDI!$C$17,IF(AND(#REF!="Diferenciado",$H$4=#REF!),BDI!$G$17,IF(AND(#REF!="Diferenciado",$H$4=#REF!),BDI!$H$17,IF(#REF!="ZERO",0))))),"")</f>
        <v>#REF!</v>
      </c>
      <c r="H208" s="161" t="e">
        <f t="shared" ca="1" si="10"/>
        <v>#REF!</v>
      </c>
      <c r="I208" s="159" t="e">
        <f t="shared" ca="1" si="11"/>
        <v>#REF!</v>
      </c>
    </row>
    <row r="209" spans="1:9" hidden="1" x14ac:dyDescent="0.25">
      <c r="A209" s="102" t="s">
        <v>799</v>
      </c>
      <c r="B209" s="103" t="s">
        <v>2951</v>
      </c>
      <c r="C209" s="104" t="s">
        <v>32</v>
      </c>
      <c r="D209" s="104">
        <v>0</v>
      </c>
      <c r="E209" s="158">
        <f ca="1">OFFSET(INDEX(Composições!A:J,MATCH(Orçamentária!A209,Composições!A:A,0),10),2,0)</f>
        <v>2.3922140000000001</v>
      </c>
      <c r="F209" s="159">
        <f t="shared" ca="1" si="9"/>
        <v>0</v>
      </c>
      <c r="G209" s="160" t="e">
        <f>IF(A209&lt;&gt;"",IF(AND(#REF!="Padrão",$H$4=#REF!),BDI!$B$17,IF(AND(#REF!="Padrão",$H$4=#REF!),BDI!$C$17,IF(AND(#REF!="Diferenciado",$H$4=#REF!),BDI!$G$17,IF(AND(#REF!="Diferenciado",$H$4=#REF!),BDI!$H$17,IF(#REF!="ZERO",0))))),"")</f>
        <v>#REF!</v>
      </c>
      <c r="H209" s="161" t="e">
        <f t="shared" ca="1" si="10"/>
        <v>#REF!</v>
      </c>
      <c r="I209" s="159" t="e">
        <f t="shared" ca="1" si="11"/>
        <v>#REF!</v>
      </c>
    </row>
    <row r="210" spans="1:9" hidden="1" x14ac:dyDescent="0.25">
      <c r="A210" s="102" t="s">
        <v>801</v>
      </c>
      <c r="B210" s="103" t="s">
        <v>2952</v>
      </c>
      <c r="C210" s="104" t="s">
        <v>32</v>
      </c>
      <c r="D210" s="104">
        <v>0</v>
      </c>
      <c r="E210" s="158">
        <f ca="1">OFFSET(INDEX(Composições!A:J,MATCH(Orçamentária!A210,Composições!A:A,0),10),2,0)</f>
        <v>2.3922140000000001</v>
      </c>
      <c r="F210" s="159">
        <f t="shared" ca="1" si="9"/>
        <v>0</v>
      </c>
      <c r="G210" s="160" t="e">
        <f>IF(A210&lt;&gt;"",IF(AND(#REF!="Padrão",$H$4=#REF!),BDI!$B$17,IF(AND(#REF!="Padrão",$H$4=#REF!),BDI!$C$17,IF(AND(#REF!="Diferenciado",$H$4=#REF!),BDI!$G$17,IF(AND(#REF!="Diferenciado",$H$4=#REF!),BDI!$H$17,IF(#REF!="ZERO",0))))),"")</f>
        <v>#REF!</v>
      </c>
      <c r="H210" s="161" t="e">
        <f t="shared" ca="1" si="10"/>
        <v>#REF!</v>
      </c>
      <c r="I210" s="159" t="e">
        <f t="shared" ca="1" si="11"/>
        <v>#REF!</v>
      </c>
    </row>
    <row r="211" spans="1:9" hidden="1" x14ac:dyDescent="0.25">
      <c r="A211" s="102" t="s">
        <v>803</v>
      </c>
      <c r="B211" s="103" t="s">
        <v>2953</v>
      </c>
      <c r="C211" s="104" t="s">
        <v>32</v>
      </c>
      <c r="D211" s="104">
        <v>0</v>
      </c>
      <c r="E211" s="158">
        <f ca="1">OFFSET(INDEX(Composições!A:J,MATCH(Orçamentária!A211,Composições!A:A,0),10),2,0)</f>
        <v>145.07271399999999</v>
      </c>
      <c r="F211" s="159">
        <f t="shared" ca="1" si="9"/>
        <v>0</v>
      </c>
      <c r="G211" s="160" t="e">
        <f>IF(A211&lt;&gt;"",IF(AND(#REF!="Padrão",$H$4=#REF!),BDI!$B$17,IF(AND(#REF!="Padrão",$H$4=#REF!),BDI!$C$17,IF(AND(#REF!="Diferenciado",$H$4=#REF!),BDI!$G$17,IF(AND(#REF!="Diferenciado",$H$4=#REF!),BDI!$H$17,IF(#REF!="ZERO",0))))),"")</f>
        <v>#REF!</v>
      </c>
      <c r="H211" s="161" t="e">
        <f t="shared" ca="1" si="10"/>
        <v>#REF!</v>
      </c>
      <c r="I211" s="159" t="e">
        <f t="shared" ca="1" si="11"/>
        <v>#REF!</v>
      </c>
    </row>
    <row r="212" spans="1:9" hidden="1" x14ac:dyDescent="0.25">
      <c r="A212" s="102" t="s">
        <v>806</v>
      </c>
      <c r="B212" s="103" t="s">
        <v>2954</v>
      </c>
      <c r="C212" s="104" t="s">
        <v>32</v>
      </c>
      <c r="D212" s="104">
        <v>0</v>
      </c>
      <c r="E212" s="158">
        <f ca="1">OFFSET(INDEX(Composições!A:J,MATCH(Orçamentária!A212,Composições!A:A,0),10),2,0)</f>
        <v>3.9907790000000003</v>
      </c>
      <c r="F212" s="159">
        <f t="shared" ca="1" si="9"/>
        <v>0</v>
      </c>
      <c r="G212" s="160" t="e">
        <f>IF(A212&lt;&gt;"",IF(AND(#REF!="Padrão",$H$4=#REF!),BDI!$B$17,IF(AND(#REF!="Padrão",$H$4=#REF!),BDI!$C$17,IF(AND(#REF!="Diferenciado",$H$4=#REF!),BDI!$G$17,IF(AND(#REF!="Diferenciado",$H$4=#REF!),BDI!$H$17,IF(#REF!="ZERO",0))))),"")</f>
        <v>#REF!</v>
      </c>
      <c r="H212" s="161" t="e">
        <f t="shared" ca="1" si="10"/>
        <v>#REF!</v>
      </c>
      <c r="I212" s="198" t="e">
        <f t="shared" ca="1" si="11"/>
        <v>#REF!</v>
      </c>
    </row>
    <row r="213" spans="1:9" x14ac:dyDescent="0.25">
      <c r="A213" s="204" t="s">
        <v>810</v>
      </c>
      <c r="B213" s="205" t="s">
        <v>2955</v>
      </c>
      <c r="C213" s="206" t="s">
        <v>32</v>
      </c>
      <c r="D213" s="206">
        <v>1</v>
      </c>
      <c r="E213" s="158">
        <f ca="1">OFFSET(INDEX(Composições!A:J,MATCH(Orçamentária!A213,Composições!A:A,0),10),2,0)</f>
        <v>54.383908999999996</v>
      </c>
      <c r="F213" s="159">
        <f t="shared" ca="1" si="9"/>
        <v>54.383908999999996</v>
      </c>
      <c r="G213" s="160">
        <f>BDI!$C$17</f>
        <v>0.24479999999999999</v>
      </c>
      <c r="H213" s="161">
        <f t="shared" ca="1" si="10"/>
        <v>67.7</v>
      </c>
      <c r="I213" s="202">
        <f t="shared" ca="1" si="11"/>
        <v>67.7</v>
      </c>
    </row>
    <row r="214" spans="1:9" hidden="1" x14ac:dyDescent="0.25">
      <c r="A214" s="102" t="s">
        <v>815</v>
      </c>
      <c r="B214" s="103" t="s">
        <v>2956</v>
      </c>
      <c r="C214" s="104" t="s">
        <v>32</v>
      </c>
      <c r="D214" s="104">
        <v>0</v>
      </c>
      <c r="E214" s="158">
        <f ca="1">OFFSET(INDEX(Composições!A:J,MATCH(Orçamentária!A214,Composições!A:A,0),10),2,0)</f>
        <v>26.647006000000005</v>
      </c>
      <c r="F214" s="159">
        <f t="shared" ca="1" si="9"/>
        <v>0</v>
      </c>
      <c r="G214" s="160" t="e">
        <f>IF(A214&lt;&gt;"",IF(AND(#REF!="Padrão",$H$4=#REF!),BDI!$B$17,IF(AND(#REF!="Padrão",$H$4=#REF!),BDI!$C$17,IF(AND(#REF!="Diferenciado",$H$4=#REF!),BDI!$G$17,IF(AND(#REF!="Diferenciado",$H$4=#REF!),BDI!$H$17,IF(#REF!="ZERO",0))))),"")</f>
        <v>#REF!</v>
      </c>
      <c r="H214" s="161" t="e">
        <f t="shared" ca="1" si="10"/>
        <v>#REF!</v>
      </c>
      <c r="I214" s="159" t="e">
        <f t="shared" ca="1" si="11"/>
        <v>#REF!</v>
      </c>
    </row>
    <row r="215" spans="1:9" hidden="1" x14ac:dyDescent="0.25">
      <c r="A215" s="102" t="s">
        <v>820</v>
      </c>
      <c r="B215" s="103" t="s">
        <v>2957</v>
      </c>
      <c r="C215" s="104" t="s">
        <v>32</v>
      </c>
      <c r="D215" s="104">
        <v>0</v>
      </c>
      <c r="E215" s="158">
        <f ca="1">OFFSET(INDEX(Composições!A:J,MATCH(Orçamentária!A215,Composições!A:A,0),10),2,0)</f>
        <v>196.37400599999998</v>
      </c>
      <c r="F215" s="159">
        <f t="shared" ca="1" si="9"/>
        <v>0</v>
      </c>
      <c r="G215" s="160" t="e">
        <f>IF(A215&lt;&gt;"",IF(AND(#REF!="Padrão",$H$4=#REF!),BDI!$B$17,IF(AND(#REF!="Padrão",$H$4=#REF!),BDI!$C$17,IF(AND(#REF!="Diferenciado",$H$4=#REF!),BDI!$G$17,IF(AND(#REF!="Diferenciado",$H$4=#REF!),BDI!$H$17,IF(#REF!="ZERO",0))))),"")</f>
        <v>#REF!</v>
      </c>
      <c r="H215" s="161" t="e">
        <f t="shared" ca="1" si="10"/>
        <v>#REF!</v>
      </c>
      <c r="I215" s="159" t="e">
        <f t="shared" ca="1" si="11"/>
        <v>#REF!</v>
      </c>
    </row>
    <row r="216" spans="1:9" hidden="1" x14ac:dyDescent="0.25">
      <c r="A216" s="102" t="s">
        <v>823</v>
      </c>
      <c r="B216" s="103" t="s">
        <v>2958</v>
      </c>
      <c r="C216" s="104" t="s">
        <v>32</v>
      </c>
      <c r="D216" s="104">
        <v>0</v>
      </c>
      <c r="E216" s="158">
        <f ca="1">OFFSET(INDEX(Composições!A:J,MATCH(Orçamentária!A216,Composições!A:A,0),10),2,0)</f>
        <v>26.647006000000005</v>
      </c>
      <c r="F216" s="159">
        <f t="shared" ca="1" si="9"/>
        <v>0</v>
      </c>
      <c r="G216" s="160" t="e">
        <f>IF(A216&lt;&gt;"",IF(AND(#REF!="Padrão",$H$4=#REF!),BDI!$B$17,IF(AND(#REF!="Padrão",$H$4=#REF!),BDI!$C$17,IF(AND(#REF!="Diferenciado",$H$4=#REF!),BDI!$G$17,IF(AND(#REF!="Diferenciado",$H$4=#REF!),BDI!$H$17,IF(#REF!="ZERO",0))))),"")</f>
        <v>#REF!</v>
      </c>
      <c r="H216" s="161" t="e">
        <f t="shared" ca="1" si="10"/>
        <v>#REF!</v>
      </c>
      <c r="I216" s="159" t="e">
        <f t="shared" ca="1" si="11"/>
        <v>#REF!</v>
      </c>
    </row>
    <row r="217" spans="1:9" hidden="1" x14ac:dyDescent="0.25">
      <c r="A217" s="102" t="s">
        <v>825</v>
      </c>
      <c r="B217" s="103" t="s">
        <v>2959</v>
      </c>
      <c r="C217" s="104" t="s">
        <v>32</v>
      </c>
      <c r="D217" s="104">
        <v>0</v>
      </c>
      <c r="E217" s="158">
        <f ca="1">OFFSET(INDEX(Composições!A:J,MATCH(Orçamentária!A217,Composições!A:A,0),10),2,0)</f>
        <v>164.14050599999999</v>
      </c>
      <c r="F217" s="159">
        <f t="shared" ca="1" si="9"/>
        <v>0</v>
      </c>
      <c r="G217" s="160" t="e">
        <f>IF(A217&lt;&gt;"",IF(AND(#REF!="Padrão",$H$4=#REF!),BDI!$B$17,IF(AND(#REF!="Padrão",$H$4=#REF!),BDI!$C$17,IF(AND(#REF!="Diferenciado",$H$4=#REF!),BDI!$G$17,IF(AND(#REF!="Diferenciado",$H$4=#REF!),BDI!$H$17,IF(#REF!="ZERO",0))))),"")</f>
        <v>#REF!</v>
      </c>
      <c r="H217" s="161" t="e">
        <f t="shared" ca="1" si="10"/>
        <v>#REF!</v>
      </c>
      <c r="I217" s="159" t="e">
        <f t="shared" ca="1" si="11"/>
        <v>#REF!</v>
      </c>
    </row>
    <row r="218" spans="1:9" hidden="1" x14ac:dyDescent="0.25">
      <c r="A218" s="102" t="s">
        <v>828</v>
      </c>
      <c r="B218" s="103" t="s">
        <v>2960</v>
      </c>
      <c r="C218" s="104" t="s">
        <v>32</v>
      </c>
      <c r="D218" s="104">
        <v>0</v>
      </c>
      <c r="E218" s="158">
        <f ca="1">OFFSET(INDEX(Composições!A:J,MATCH(Orçamentária!A218,Composições!A:A,0),10),2,0)</f>
        <v>31.454594999999998</v>
      </c>
      <c r="F218" s="159">
        <f t="shared" ca="1" si="9"/>
        <v>0</v>
      </c>
      <c r="G218" s="160" t="e">
        <f>IF(A218&lt;&gt;"",IF(AND(#REF!="Padrão",$H$4=#REF!),BDI!$B$17,IF(AND(#REF!="Padrão",$H$4=#REF!),BDI!$C$17,IF(AND(#REF!="Diferenciado",$H$4=#REF!),BDI!$G$17,IF(AND(#REF!="Diferenciado",$H$4=#REF!),BDI!$H$17,IF(#REF!="ZERO",0))))),"")</f>
        <v>#REF!</v>
      </c>
      <c r="H218" s="161" t="e">
        <f t="shared" ca="1" si="10"/>
        <v>#REF!</v>
      </c>
      <c r="I218" s="198" t="e">
        <f t="shared" ca="1" si="11"/>
        <v>#REF!</v>
      </c>
    </row>
    <row r="219" spans="1:9" x14ac:dyDescent="0.25">
      <c r="A219" s="204" t="s">
        <v>833</v>
      </c>
      <c r="B219" s="205" t="s">
        <v>2961</v>
      </c>
      <c r="C219" s="206" t="s">
        <v>32</v>
      </c>
      <c r="D219" s="206">
        <v>2</v>
      </c>
      <c r="E219" s="158">
        <f ca="1">OFFSET(INDEX(Composições!A:J,MATCH(Orçamentária!A219,Composições!A:A,0),10),2,0)</f>
        <v>23.322595</v>
      </c>
      <c r="F219" s="159">
        <f t="shared" ca="1" si="9"/>
        <v>46.645189999999999</v>
      </c>
      <c r="G219" s="160">
        <f>BDI!$C$17</f>
        <v>0.24479999999999999</v>
      </c>
      <c r="H219" s="161">
        <f t="shared" ca="1" si="10"/>
        <v>29.03</v>
      </c>
      <c r="I219" s="202">
        <f t="shared" ca="1" si="11"/>
        <v>58.06</v>
      </c>
    </row>
    <row r="220" spans="1:9" hidden="1" x14ac:dyDescent="0.25">
      <c r="A220" s="102" t="s">
        <v>838</v>
      </c>
      <c r="B220" s="103" t="s">
        <v>2962</v>
      </c>
      <c r="C220" s="104" t="s">
        <v>32</v>
      </c>
      <c r="D220" s="104">
        <v>0</v>
      </c>
      <c r="E220" s="158">
        <f ca="1">OFFSET(INDEX(Composições!A:J,MATCH(Orçamentária!A220,Composições!A:A,0),10),2,0)</f>
        <v>172.74750599999999</v>
      </c>
      <c r="F220" s="159">
        <f t="shared" ca="1" si="9"/>
        <v>0</v>
      </c>
      <c r="G220" s="160" t="e">
        <f>IF(A220&lt;&gt;"",IF(AND(#REF!="Padrão",$H$4=#REF!),BDI!$B$17,IF(AND(#REF!="Padrão",$H$4=#REF!),BDI!$C$17,IF(AND(#REF!="Diferenciado",$H$4=#REF!),BDI!$G$17,IF(AND(#REF!="Diferenciado",$H$4=#REF!),BDI!$H$17,IF(#REF!="ZERO",0))))),"")</f>
        <v>#REF!</v>
      </c>
      <c r="H220" s="161" t="e">
        <f t="shared" ca="1" si="10"/>
        <v>#REF!</v>
      </c>
      <c r="I220" s="159" t="e">
        <f t="shared" ca="1" si="11"/>
        <v>#REF!</v>
      </c>
    </row>
    <row r="221" spans="1:9" hidden="1" x14ac:dyDescent="0.25">
      <c r="A221" s="102" t="s">
        <v>841</v>
      </c>
      <c r="B221" s="103" t="s">
        <v>2963</v>
      </c>
      <c r="C221" s="104" t="s">
        <v>32</v>
      </c>
      <c r="D221" s="104">
        <v>0</v>
      </c>
      <c r="E221" s="158">
        <f ca="1">OFFSET(INDEX(Composições!A:J,MATCH(Orçamentária!A221,Composições!A:A,0),10),2,0)</f>
        <v>10.014424999999999</v>
      </c>
      <c r="F221" s="159">
        <f t="shared" ca="1" si="9"/>
        <v>0</v>
      </c>
      <c r="G221" s="160" t="e">
        <f>IF(A221&lt;&gt;"",IF(AND(#REF!="Padrão",$H$4=#REF!),BDI!$B$17,IF(AND(#REF!="Padrão",$H$4=#REF!),BDI!$C$17,IF(AND(#REF!="Diferenciado",$H$4=#REF!),BDI!$G$17,IF(AND(#REF!="Diferenciado",$H$4=#REF!),BDI!$H$17,IF(#REF!="ZERO",0))))),"")</f>
        <v>#REF!</v>
      </c>
      <c r="H221" s="161" t="e">
        <f t="shared" ca="1" si="10"/>
        <v>#REF!</v>
      </c>
      <c r="I221" s="159" t="e">
        <f t="shared" ca="1" si="11"/>
        <v>#REF!</v>
      </c>
    </row>
    <row r="222" spans="1:9" hidden="1" x14ac:dyDescent="0.25">
      <c r="A222" s="102" t="s">
        <v>845</v>
      </c>
      <c r="B222" s="103" t="s">
        <v>2964</v>
      </c>
      <c r="C222" s="104" t="s">
        <v>32</v>
      </c>
      <c r="D222" s="104">
        <v>0</v>
      </c>
      <c r="E222" s="158">
        <f ca="1">OFFSET(INDEX(Composições!A:J,MATCH(Orçamentária!A222,Composições!A:A,0),10),2,0)</f>
        <v>36.3185</v>
      </c>
      <c r="F222" s="159">
        <f t="shared" ca="1" si="9"/>
        <v>0</v>
      </c>
      <c r="G222" s="160" t="e">
        <f>IF(A222&lt;&gt;"",IF(AND(#REF!="Padrão",$H$4=#REF!),BDI!$B$17,IF(AND(#REF!="Padrão",$H$4=#REF!),BDI!$C$17,IF(AND(#REF!="Diferenciado",$H$4=#REF!),BDI!$G$17,IF(AND(#REF!="Diferenciado",$H$4=#REF!),BDI!$H$17,IF(#REF!="ZERO",0))))),"")</f>
        <v>#REF!</v>
      </c>
      <c r="H222" s="161" t="e">
        <f t="shared" ca="1" si="10"/>
        <v>#REF!</v>
      </c>
      <c r="I222" s="159" t="e">
        <f t="shared" ca="1" si="11"/>
        <v>#REF!</v>
      </c>
    </row>
    <row r="223" spans="1:9" hidden="1" x14ac:dyDescent="0.25">
      <c r="A223" s="102" t="s">
        <v>851</v>
      </c>
      <c r="B223" s="103" t="s">
        <v>2965</v>
      </c>
      <c r="C223" s="104" t="s">
        <v>32</v>
      </c>
      <c r="D223" s="104">
        <v>0</v>
      </c>
      <c r="E223" s="158">
        <f ca="1">OFFSET(INDEX(Composições!A:J,MATCH(Orçamentária!A223,Composições!A:A,0),10),2,0)</f>
        <v>171.3785</v>
      </c>
      <c r="F223" s="159">
        <f t="shared" ca="1" si="9"/>
        <v>0</v>
      </c>
      <c r="G223" s="160" t="e">
        <f>IF(A223&lt;&gt;"",IF(AND(#REF!="Padrão",$H$4=#REF!),BDI!$B$17,IF(AND(#REF!="Padrão",$H$4=#REF!),BDI!$C$17,IF(AND(#REF!="Diferenciado",$H$4=#REF!),BDI!$G$17,IF(AND(#REF!="Diferenciado",$H$4=#REF!),BDI!$H$17,IF(#REF!="ZERO",0))))),"")</f>
        <v>#REF!</v>
      </c>
      <c r="H223" s="161" t="e">
        <f t="shared" ca="1" si="10"/>
        <v>#REF!</v>
      </c>
      <c r="I223" s="159" t="e">
        <f t="shared" ca="1" si="11"/>
        <v>#REF!</v>
      </c>
    </row>
    <row r="224" spans="1:9" hidden="1" x14ac:dyDescent="0.25">
      <c r="A224" s="102" t="s">
        <v>853</v>
      </c>
      <c r="B224" s="103" t="s">
        <v>2966</v>
      </c>
      <c r="C224" s="104" t="s">
        <v>32</v>
      </c>
      <c r="D224" s="104">
        <v>0</v>
      </c>
      <c r="E224" s="158">
        <f ca="1">OFFSET(INDEX(Composições!A:J,MATCH(Orçamentária!A224,Composições!A:A,0),10),2,0)</f>
        <v>180.32849999999999</v>
      </c>
      <c r="F224" s="159">
        <f t="shared" ca="1" si="9"/>
        <v>0</v>
      </c>
      <c r="G224" s="160" t="e">
        <f>IF(A224&lt;&gt;"",IF(AND(#REF!="Padrão",$H$4=#REF!),BDI!$B$17,IF(AND(#REF!="Padrão",$H$4=#REF!),BDI!$C$17,IF(AND(#REF!="Diferenciado",$H$4=#REF!),BDI!$G$17,IF(AND(#REF!="Diferenciado",$H$4=#REF!),BDI!$H$17,IF(#REF!="ZERO",0))))),"")</f>
        <v>#REF!</v>
      </c>
      <c r="H224" s="161" t="e">
        <f t="shared" ca="1" si="10"/>
        <v>#REF!</v>
      </c>
      <c r="I224" s="159" t="e">
        <f t="shared" ca="1" si="11"/>
        <v>#REF!</v>
      </c>
    </row>
    <row r="225" spans="1:9" hidden="1" x14ac:dyDescent="0.25">
      <c r="A225" s="102" t="s">
        <v>855</v>
      </c>
      <c r="B225" s="103" t="s">
        <v>2967</v>
      </c>
      <c r="C225" s="104" t="s">
        <v>32</v>
      </c>
      <c r="D225" s="104">
        <v>0</v>
      </c>
      <c r="E225" s="158">
        <f ca="1">OFFSET(INDEX(Composições!A:J,MATCH(Orçamentária!A225,Composições!A:A,0),10),2,0)</f>
        <v>36.3185</v>
      </c>
      <c r="F225" s="159">
        <f t="shared" ca="1" si="9"/>
        <v>0</v>
      </c>
      <c r="G225" s="160" t="e">
        <f>IF(A225&lt;&gt;"",IF(AND(#REF!="Padrão",$H$4=#REF!),BDI!$B$17,IF(AND(#REF!="Padrão",$H$4=#REF!),BDI!$C$17,IF(AND(#REF!="Diferenciado",$H$4=#REF!),BDI!$G$17,IF(AND(#REF!="Diferenciado",$H$4=#REF!),BDI!$H$17,IF(#REF!="ZERO",0))))),"")</f>
        <v>#REF!</v>
      </c>
      <c r="H225" s="161" t="e">
        <f t="shared" ca="1" si="10"/>
        <v>#REF!</v>
      </c>
      <c r="I225" s="159" t="e">
        <f t="shared" ca="1" si="11"/>
        <v>#REF!</v>
      </c>
    </row>
    <row r="226" spans="1:9" hidden="1" x14ac:dyDescent="0.25">
      <c r="A226" s="102" t="s">
        <v>858</v>
      </c>
      <c r="B226" s="103" t="s">
        <v>2968</v>
      </c>
      <c r="C226" s="104" t="s">
        <v>32</v>
      </c>
      <c r="D226" s="104">
        <v>0</v>
      </c>
      <c r="E226" s="158">
        <f ca="1">OFFSET(INDEX(Composições!A:J,MATCH(Orçamentária!A226,Composições!A:A,0),10),2,0)</f>
        <v>36.609872599999996</v>
      </c>
      <c r="F226" s="159">
        <f t="shared" ca="1" si="9"/>
        <v>0</v>
      </c>
      <c r="G226" s="160" t="e">
        <f>IF(A226&lt;&gt;"",IF(AND(#REF!="Padrão",$H$4=#REF!),BDI!$B$17,IF(AND(#REF!="Padrão",$H$4=#REF!),BDI!$C$17,IF(AND(#REF!="Diferenciado",$H$4=#REF!),BDI!$G$17,IF(AND(#REF!="Diferenciado",$H$4=#REF!),BDI!$H$17,IF(#REF!="ZERO",0))))),"")</f>
        <v>#REF!</v>
      </c>
      <c r="H226" s="161" t="e">
        <f t="shared" ca="1" si="10"/>
        <v>#REF!</v>
      </c>
      <c r="I226" s="159" t="e">
        <f t="shared" ca="1" si="11"/>
        <v>#REF!</v>
      </c>
    </row>
    <row r="227" spans="1:9" hidden="1" x14ac:dyDescent="0.25">
      <c r="A227" s="102" t="s">
        <v>860</v>
      </c>
      <c r="B227" s="103" t="s">
        <v>2969</v>
      </c>
      <c r="C227" s="104" t="s">
        <v>32</v>
      </c>
      <c r="D227" s="104">
        <v>0</v>
      </c>
      <c r="E227" s="158">
        <f ca="1">OFFSET(INDEX(Composições!A:J,MATCH(Orçamentária!A227,Composições!A:A,0),10),2,0)</f>
        <v>113.1848126</v>
      </c>
      <c r="F227" s="159">
        <f t="shared" ca="1" si="9"/>
        <v>0</v>
      </c>
      <c r="G227" s="160" t="e">
        <f>IF(A227&lt;&gt;"",IF(AND(#REF!="Padrão",$H$4=#REF!),BDI!$B$17,IF(AND(#REF!="Padrão",$H$4=#REF!),BDI!$C$17,IF(AND(#REF!="Diferenciado",$H$4=#REF!),BDI!$G$17,IF(AND(#REF!="Diferenciado",$H$4=#REF!),BDI!$H$17,IF(#REF!="ZERO",0))))),"")</f>
        <v>#REF!</v>
      </c>
      <c r="H227" s="161" t="e">
        <f t="shared" ca="1" si="10"/>
        <v>#REF!</v>
      </c>
      <c r="I227" s="159" t="e">
        <f t="shared" ca="1" si="11"/>
        <v>#REF!</v>
      </c>
    </row>
    <row r="228" spans="1:9" hidden="1" x14ac:dyDescent="0.25">
      <c r="A228" s="102" t="s">
        <v>864</v>
      </c>
      <c r="B228" s="103" t="s">
        <v>2970</v>
      </c>
      <c r="C228" s="104" t="s">
        <v>32</v>
      </c>
      <c r="D228" s="104">
        <v>0</v>
      </c>
      <c r="E228" s="158">
        <f ca="1">OFFSET(INDEX(Composições!A:J,MATCH(Orçamentária!A228,Composições!A:A,0),10),2,0)</f>
        <v>3.3736571</v>
      </c>
      <c r="F228" s="159">
        <f t="shared" ca="1" si="9"/>
        <v>0</v>
      </c>
      <c r="G228" s="160" t="e">
        <f>IF(A228&lt;&gt;"",IF(AND(#REF!="Padrão",$H$4=#REF!),BDI!$B$17,IF(AND(#REF!="Padrão",$H$4=#REF!),BDI!$C$17,IF(AND(#REF!="Diferenciado",$H$4=#REF!),BDI!$G$17,IF(AND(#REF!="Diferenciado",$H$4=#REF!),BDI!$H$17,IF(#REF!="ZERO",0))))),"")</f>
        <v>#REF!</v>
      </c>
      <c r="H228" s="161" t="e">
        <f t="shared" ca="1" si="10"/>
        <v>#REF!</v>
      </c>
      <c r="I228" s="198" t="e">
        <f t="shared" ca="1" si="11"/>
        <v>#REF!</v>
      </c>
    </row>
    <row r="229" spans="1:9" x14ac:dyDescent="0.25">
      <c r="A229" s="204" t="s">
        <v>869</v>
      </c>
      <c r="B229" s="205" t="s">
        <v>2971</v>
      </c>
      <c r="C229" s="206" t="s">
        <v>32</v>
      </c>
      <c r="D229" s="206">
        <v>2</v>
      </c>
      <c r="E229" s="158">
        <f ca="1">OFFSET(INDEX(Composições!A:J,MATCH(Orçamentária!A229,Composições!A:A,0),10),2,0)</f>
        <v>102.5036571</v>
      </c>
      <c r="F229" s="159">
        <f t="shared" ca="1" si="9"/>
        <v>205.0073142</v>
      </c>
      <c r="G229" s="160">
        <f>BDI!$C$17</f>
        <v>0.24479999999999999</v>
      </c>
      <c r="H229" s="161">
        <f t="shared" ca="1" si="10"/>
        <v>127.6</v>
      </c>
      <c r="I229" s="202">
        <f t="shared" ca="1" si="11"/>
        <v>255.2</v>
      </c>
    </row>
    <row r="230" spans="1:9" hidden="1" x14ac:dyDescent="0.25">
      <c r="A230" s="102" t="s">
        <v>871</v>
      </c>
      <c r="B230" s="103" t="s">
        <v>2972</v>
      </c>
      <c r="C230" s="104" t="s">
        <v>32</v>
      </c>
      <c r="D230" s="104">
        <v>0</v>
      </c>
      <c r="E230" s="158">
        <f ca="1">OFFSET(INDEX(Composições!A:J,MATCH(Orçamentária!A230,Composições!A:A,0),10),2,0)</f>
        <v>3.3736571</v>
      </c>
      <c r="F230" s="159">
        <f t="shared" ca="1" si="9"/>
        <v>0</v>
      </c>
      <c r="G230" s="160" t="e">
        <f>IF(A230&lt;&gt;"",IF(AND(#REF!="Padrão",$H$4=#REF!),BDI!$B$17,IF(AND(#REF!="Padrão",$H$4=#REF!),BDI!$C$17,IF(AND(#REF!="Diferenciado",$H$4=#REF!),BDI!$G$17,IF(AND(#REF!="Diferenciado",$H$4=#REF!),BDI!$H$17,IF(#REF!="ZERO",0))))),"")</f>
        <v>#REF!</v>
      </c>
      <c r="H230" s="161" t="e">
        <f t="shared" ca="1" si="10"/>
        <v>#REF!</v>
      </c>
      <c r="I230" s="159" t="e">
        <f t="shared" ca="1" si="11"/>
        <v>#REF!</v>
      </c>
    </row>
    <row r="231" spans="1:9" hidden="1" x14ac:dyDescent="0.25">
      <c r="A231" s="102" t="s">
        <v>873</v>
      </c>
      <c r="B231" s="103" t="s">
        <v>2973</v>
      </c>
      <c r="C231" s="104" t="s">
        <v>32</v>
      </c>
      <c r="D231" s="104">
        <v>0</v>
      </c>
      <c r="E231" s="158">
        <f ca="1">OFFSET(INDEX(Composições!A:J,MATCH(Orçamentária!A231,Composições!A:A,0),10),2,0)</f>
        <v>3.3736571</v>
      </c>
      <c r="F231" s="159">
        <f t="shared" ca="1" si="9"/>
        <v>0</v>
      </c>
      <c r="G231" s="160" t="e">
        <f>IF(A231&lt;&gt;"",IF(AND(#REF!="Padrão",$H$4=#REF!),BDI!$B$17,IF(AND(#REF!="Padrão",$H$4=#REF!),BDI!$C$17,IF(AND(#REF!="Diferenciado",$H$4=#REF!),BDI!$G$17,IF(AND(#REF!="Diferenciado",$H$4=#REF!),BDI!$H$17,IF(#REF!="ZERO",0))))),"")</f>
        <v>#REF!</v>
      </c>
      <c r="H231" s="161" t="e">
        <f t="shared" ca="1" si="10"/>
        <v>#REF!</v>
      </c>
      <c r="I231" s="198" t="e">
        <f t="shared" ca="1" si="11"/>
        <v>#REF!</v>
      </c>
    </row>
    <row r="232" spans="1:9" x14ac:dyDescent="0.25">
      <c r="A232" s="204" t="s">
        <v>875</v>
      </c>
      <c r="B232" s="205" t="s">
        <v>2974</v>
      </c>
      <c r="C232" s="206" t="s">
        <v>32</v>
      </c>
      <c r="D232" s="206">
        <v>36</v>
      </c>
      <c r="E232" s="158">
        <f ca="1">OFFSET(INDEX(Composições!A:J,MATCH(Orçamentária!A232,Composições!A:A,0),10),2,0)</f>
        <v>6.818863815654999</v>
      </c>
      <c r="F232" s="159">
        <f t="shared" ca="1" si="9"/>
        <v>245.47909736357997</v>
      </c>
      <c r="G232" s="160">
        <f>BDI!$C$17</f>
        <v>0.24479999999999999</v>
      </c>
      <c r="H232" s="161">
        <f t="shared" ca="1" si="10"/>
        <v>8.49</v>
      </c>
      <c r="I232" s="202">
        <f t="shared" ca="1" si="11"/>
        <v>305.64</v>
      </c>
    </row>
    <row r="233" spans="1:9" x14ac:dyDescent="0.25">
      <c r="A233" s="204" t="s">
        <v>880</v>
      </c>
      <c r="B233" s="205" t="s">
        <v>881</v>
      </c>
      <c r="C233" s="206" t="s">
        <v>32</v>
      </c>
      <c r="D233" s="206">
        <v>6</v>
      </c>
      <c r="E233" s="158">
        <f ca="1">OFFSET(INDEX(Composições!A:J,MATCH(Orçamentária!A233,Composições!A:A,0),10),2,0)</f>
        <v>10.0672125</v>
      </c>
      <c r="F233" s="159">
        <f t="shared" ca="1" si="9"/>
        <v>60.403275000000001</v>
      </c>
      <c r="G233" s="160">
        <f>BDI!$C$17</f>
        <v>0.24479999999999999</v>
      </c>
      <c r="H233" s="161">
        <f t="shared" ca="1" si="10"/>
        <v>12.53</v>
      </c>
      <c r="I233" s="199">
        <f t="shared" ca="1" si="11"/>
        <v>75.180000000000007</v>
      </c>
    </row>
    <row r="234" spans="1:9" x14ac:dyDescent="0.25">
      <c r="A234" s="204" t="s">
        <v>882</v>
      </c>
      <c r="B234" s="205" t="s">
        <v>2975</v>
      </c>
      <c r="C234" s="206" t="s">
        <v>32</v>
      </c>
      <c r="D234" s="206">
        <v>4</v>
      </c>
      <c r="E234" s="158">
        <f ca="1">OFFSET(INDEX(Composições!A:J,MATCH(Orçamentária!A234,Composições!A:A,0),10),2,0)</f>
        <v>9.0884300875400008</v>
      </c>
      <c r="F234" s="159">
        <f t="shared" ca="1" si="9"/>
        <v>36.353720350160003</v>
      </c>
      <c r="G234" s="160">
        <f>BDI!$C$17</f>
        <v>0.24479999999999999</v>
      </c>
      <c r="H234" s="161">
        <f t="shared" ca="1" si="10"/>
        <v>11.31</v>
      </c>
      <c r="I234" s="199">
        <f t="shared" ca="1" si="11"/>
        <v>45.24</v>
      </c>
    </row>
    <row r="235" spans="1:9" hidden="1" x14ac:dyDescent="0.25">
      <c r="A235" s="102" t="s">
        <v>887</v>
      </c>
      <c r="B235" s="103" t="s">
        <v>888</v>
      </c>
      <c r="C235" s="104" t="s">
        <v>32</v>
      </c>
      <c r="D235" s="104">
        <v>0</v>
      </c>
      <c r="E235" s="158">
        <f ca="1">OFFSET(INDEX(Composições!A:J,MATCH(Orçamentária!A235,Composições!A:A,0),10),2,0)</f>
        <v>5.7323950000000004</v>
      </c>
      <c r="F235" s="159">
        <f t="shared" ca="1" si="9"/>
        <v>0</v>
      </c>
      <c r="G235" s="160" t="e">
        <f>IF(A235&lt;&gt;"",IF(AND(#REF!="Padrão",$H$4=#REF!),BDI!$B$17,IF(AND(#REF!="Padrão",$H$4=#REF!),BDI!$C$17,IF(AND(#REF!="Diferenciado",$H$4=#REF!),BDI!$G$17,IF(AND(#REF!="Diferenciado",$H$4=#REF!),BDI!$H$17,IF(#REF!="ZERO",0))))),"")</f>
        <v>#REF!</v>
      </c>
      <c r="H235" s="161" t="e">
        <f t="shared" ca="1" si="10"/>
        <v>#REF!</v>
      </c>
      <c r="I235" s="198" t="e">
        <f t="shared" ca="1" si="11"/>
        <v>#REF!</v>
      </c>
    </row>
    <row r="236" spans="1:9" x14ac:dyDescent="0.25">
      <c r="A236" s="204" t="s">
        <v>889</v>
      </c>
      <c r="B236" s="205" t="s">
        <v>2976</v>
      </c>
      <c r="C236" s="206" t="s">
        <v>32</v>
      </c>
      <c r="D236" s="206">
        <v>2</v>
      </c>
      <c r="E236" s="158">
        <f ca="1">OFFSET(INDEX(Composições!A:J,MATCH(Orçamentária!A236,Composições!A:A,0),10),2,0)</f>
        <v>36.058244999999999</v>
      </c>
      <c r="F236" s="159">
        <f t="shared" ca="1" si="9"/>
        <v>72.116489999999999</v>
      </c>
      <c r="G236" s="160">
        <f>BDI!$C$17</f>
        <v>0.24479999999999999</v>
      </c>
      <c r="H236" s="161">
        <f t="shared" ca="1" si="10"/>
        <v>44.89</v>
      </c>
      <c r="I236" s="202">
        <f t="shared" ca="1" si="11"/>
        <v>89.78</v>
      </c>
    </row>
    <row r="237" spans="1:9" x14ac:dyDescent="0.25">
      <c r="A237" s="204" t="s">
        <v>893</v>
      </c>
      <c r="B237" s="205" t="s">
        <v>2977</v>
      </c>
      <c r="C237" s="206" t="s">
        <v>32</v>
      </c>
      <c r="D237" s="206">
        <v>4</v>
      </c>
      <c r="E237" s="158">
        <f ca="1">OFFSET(INDEX(Composições!A:J,MATCH(Orçamentária!A237,Composições!A:A,0),10),2,0)</f>
        <v>80.598245000000006</v>
      </c>
      <c r="F237" s="159">
        <f t="shared" ca="1" si="9"/>
        <v>322.39298000000002</v>
      </c>
      <c r="G237" s="160">
        <f>BDI!$C$17</f>
        <v>0.24479999999999999</v>
      </c>
      <c r="H237" s="161">
        <f t="shared" ca="1" si="10"/>
        <v>100.33</v>
      </c>
      <c r="I237" s="199">
        <f t="shared" ca="1" si="11"/>
        <v>401.32</v>
      </c>
    </row>
    <row r="238" spans="1:9" hidden="1" x14ac:dyDescent="0.25">
      <c r="A238" s="102" t="s">
        <v>895</v>
      </c>
      <c r="B238" s="103" t="s">
        <v>2978</v>
      </c>
      <c r="C238" s="104" t="s">
        <v>32</v>
      </c>
      <c r="D238" s="104">
        <v>0</v>
      </c>
      <c r="E238" s="158">
        <f ca="1">OFFSET(INDEX(Composições!A:J,MATCH(Orçamentária!A238,Composições!A:A,0),10),2,0)</f>
        <v>41.744766999999996</v>
      </c>
      <c r="F238" s="159">
        <f t="shared" ca="1" si="9"/>
        <v>0</v>
      </c>
      <c r="G238" s="160" t="e">
        <f>IF(A238&lt;&gt;"",IF(AND(#REF!="Padrão",$H$4=#REF!),BDI!$B$17,IF(AND(#REF!="Padrão",$H$4=#REF!),BDI!$C$17,IF(AND(#REF!="Diferenciado",$H$4=#REF!),BDI!$G$17,IF(AND(#REF!="Diferenciado",$H$4=#REF!),BDI!$H$17,IF(#REF!="ZERO",0))))),"")</f>
        <v>#REF!</v>
      </c>
      <c r="H238" s="161" t="e">
        <f t="shared" ca="1" si="10"/>
        <v>#REF!</v>
      </c>
      <c r="I238" s="159" t="e">
        <f t="shared" ca="1" si="11"/>
        <v>#REF!</v>
      </c>
    </row>
    <row r="239" spans="1:9" hidden="1" x14ac:dyDescent="0.25">
      <c r="A239" s="102" t="s">
        <v>898</v>
      </c>
      <c r="B239" s="103" t="s">
        <v>2979</v>
      </c>
      <c r="C239" s="104" t="s">
        <v>32</v>
      </c>
      <c r="D239" s="104">
        <v>0</v>
      </c>
      <c r="E239" s="158">
        <f ca="1">OFFSET(INDEX(Composições!A:J,MATCH(Orçamentária!A239,Composições!A:A,0),10),2,0)</f>
        <v>11.948244999999998</v>
      </c>
      <c r="F239" s="159">
        <f t="shared" ca="1" si="9"/>
        <v>0</v>
      </c>
      <c r="G239" s="160" t="e">
        <f>IF(A239&lt;&gt;"",IF(AND(#REF!="Padrão",$H$4=#REF!),BDI!$B$17,IF(AND(#REF!="Padrão",$H$4=#REF!),BDI!$C$17,IF(AND(#REF!="Diferenciado",$H$4=#REF!),BDI!$G$17,IF(AND(#REF!="Diferenciado",$H$4=#REF!),BDI!$H$17,IF(#REF!="ZERO",0))))),"")</f>
        <v>#REF!</v>
      </c>
      <c r="H239" s="161" t="e">
        <f t="shared" ca="1" si="10"/>
        <v>#REF!</v>
      </c>
      <c r="I239" s="159" t="e">
        <f t="shared" ca="1" si="11"/>
        <v>#REF!</v>
      </c>
    </row>
    <row r="240" spans="1:9" hidden="1" x14ac:dyDescent="0.25">
      <c r="A240" s="102" t="s">
        <v>900</v>
      </c>
      <c r="B240" s="103" t="s">
        <v>2980</v>
      </c>
      <c r="C240" s="104" t="s">
        <v>184</v>
      </c>
      <c r="D240" s="104">
        <v>0</v>
      </c>
      <c r="E240" s="158">
        <f ca="1">OFFSET(INDEX(Composições!A:J,MATCH(Orçamentária!A240,Composições!A:A,0),10),2,0)</f>
        <v>6.2158499999999997</v>
      </c>
      <c r="F240" s="159">
        <f t="shared" ca="1" si="9"/>
        <v>0</v>
      </c>
      <c r="G240" s="160" t="e">
        <f>IF(A240&lt;&gt;"",IF(AND(#REF!="Padrão",$H$4=#REF!),BDI!$B$17,IF(AND(#REF!="Padrão",$H$4=#REF!),BDI!$C$17,IF(AND(#REF!="Diferenciado",$H$4=#REF!),BDI!$G$17,IF(AND(#REF!="Diferenciado",$H$4=#REF!),BDI!$H$17,IF(#REF!="ZERO",0))))),"")</f>
        <v>#REF!</v>
      </c>
      <c r="H240" s="161" t="e">
        <f t="shared" ca="1" si="10"/>
        <v>#REF!</v>
      </c>
      <c r="I240" s="198" t="e">
        <f t="shared" ca="1" si="11"/>
        <v>#REF!</v>
      </c>
    </row>
    <row r="241" spans="1:9" x14ac:dyDescent="0.25">
      <c r="A241" s="204" t="s">
        <v>904</v>
      </c>
      <c r="B241" s="205" t="s">
        <v>2981</v>
      </c>
      <c r="C241" s="206" t="s">
        <v>32</v>
      </c>
      <c r="D241" s="206">
        <v>12</v>
      </c>
      <c r="E241" s="158">
        <f ca="1">OFFSET(INDEX(Composições!A:J,MATCH(Orçamentária!A241,Composições!A:A,0),10),2,0)</f>
        <v>29.786751249999998</v>
      </c>
      <c r="F241" s="159">
        <f t="shared" ca="1" si="9"/>
        <v>357.44101499999999</v>
      </c>
      <c r="G241" s="160">
        <f>BDI!$C$17</f>
        <v>0.24479999999999999</v>
      </c>
      <c r="H241" s="161">
        <f t="shared" ca="1" si="10"/>
        <v>37.08</v>
      </c>
      <c r="I241" s="202">
        <f t="shared" ca="1" si="11"/>
        <v>444.96</v>
      </c>
    </row>
    <row r="242" spans="1:9" x14ac:dyDescent="0.25">
      <c r="A242" s="204" t="s">
        <v>910</v>
      </c>
      <c r="B242" s="205" t="s">
        <v>2982</v>
      </c>
      <c r="C242" s="206" t="s">
        <v>184</v>
      </c>
      <c r="D242" s="206">
        <v>14</v>
      </c>
      <c r="E242" s="158">
        <f ca="1">OFFSET(INDEX(Composições!A:J,MATCH(Orçamentária!A242,Composições!A:A,0),10),2,0)</f>
        <v>44.346047749999997</v>
      </c>
      <c r="F242" s="159">
        <f t="shared" ca="1" si="9"/>
        <v>620.8446684999999</v>
      </c>
      <c r="G242" s="160">
        <f>BDI!$C$17</f>
        <v>0.24479999999999999</v>
      </c>
      <c r="H242" s="161">
        <f t="shared" ca="1" si="10"/>
        <v>55.2</v>
      </c>
      <c r="I242" s="199">
        <f t="shared" ca="1" si="11"/>
        <v>772.8</v>
      </c>
    </row>
    <row r="243" spans="1:9" hidden="1" x14ac:dyDescent="0.25">
      <c r="A243" s="102" t="s">
        <v>924</v>
      </c>
      <c r="B243" s="103" t="s">
        <v>2983</v>
      </c>
      <c r="C243" s="104" t="s">
        <v>184</v>
      </c>
      <c r="D243" s="104">
        <v>0</v>
      </c>
      <c r="E243" s="158">
        <f ca="1">OFFSET(INDEX(Composições!A:J,MATCH(Orçamentária!A243,Composições!A:A,0),10),2,0)</f>
        <v>34.643400149999998</v>
      </c>
      <c r="F243" s="159">
        <f t="shared" ca="1" si="9"/>
        <v>0</v>
      </c>
      <c r="G243" s="160" t="e">
        <f>IF(A243&lt;&gt;"",IF(AND(#REF!="Padrão",$H$4=#REF!),BDI!$B$17,IF(AND(#REF!="Padrão",$H$4=#REF!),BDI!$C$17,IF(AND(#REF!="Diferenciado",$H$4=#REF!),BDI!$G$17,IF(AND(#REF!="Diferenciado",$H$4=#REF!),BDI!$H$17,IF(#REF!="ZERO",0))))),"")</f>
        <v>#REF!</v>
      </c>
      <c r="H243" s="161" t="e">
        <f t="shared" ca="1" si="10"/>
        <v>#REF!</v>
      </c>
      <c r="I243" s="159" t="e">
        <f t="shared" ca="1" si="11"/>
        <v>#REF!</v>
      </c>
    </row>
    <row r="244" spans="1:9" hidden="1" x14ac:dyDescent="0.25">
      <c r="A244" s="102" t="s">
        <v>931</v>
      </c>
      <c r="B244" s="103" t="s">
        <v>2984</v>
      </c>
      <c r="C244" s="104" t="s">
        <v>184</v>
      </c>
      <c r="D244" s="104">
        <v>0</v>
      </c>
      <c r="E244" s="158">
        <f ca="1">OFFSET(INDEX(Composições!A:J,MATCH(Orçamentária!A244,Composições!A:A,0),10),2,0)</f>
        <v>31.667525149999996</v>
      </c>
      <c r="F244" s="159">
        <f t="shared" ca="1" si="9"/>
        <v>0</v>
      </c>
      <c r="G244" s="160" t="e">
        <f>IF(A244&lt;&gt;"",IF(AND(#REF!="Padrão",$H$4=#REF!),BDI!$B$17,IF(AND(#REF!="Padrão",$H$4=#REF!),BDI!$C$17,IF(AND(#REF!="Diferenciado",$H$4=#REF!),BDI!$G$17,IF(AND(#REF!="Diferenciado",$H$4=#REF!),BDI!$H$17,IF(#REF!="ZERO",0))))),"")</f>
        <v>#REF!</v>
      </c>
      <c r="H244" s="161" t="e">
        <f t="shared" ca="1" si="10"/>
        <v>#REF!</v>
      </c>
      <c r="I244" s="159" t="e">
        <f t="shared" ca="1" si="11"/>
        <v>#REF!</v>
      </c>
    </row>
    <row r="245" spans="1:9" hidden="1" x14ac:dyDescent="0.25">
      <c r="A245" s="102" t="s">
        <v>937</v>
      </c>
      <c r="B245" s="103" t="s">
        <v>2985</v>
      </c>
      <c r="C245" s="104" t="s">
        <v>184</v>
      </c>
      <c r="D245" s="104">
        <v>0</v>
      </c>
      <c r="E245" s="158">
        <f ca="1">OFFSET(INDEX(Composições!A:J,MATCH(Orçamentária!A245,Composições!A:A,0),10),2,0)</f>
        <v>37.006525150000002</v>
      </c>
      <c r="F245" s="159">
        <f t="shared" ca="1" si="9"/>
        <v>0</v>
      </c>
      <c r="G245" s="160" t="e">
        <f>IF(A245&lt;&gt;"",IF(AND(#REF!="Padrão",$H$4=#REF!),BDI!$B$17,IF(AND(#REF!="Padrão",$H$4=#REF!),BDI!$C$17,IF(AND(#REF!="Diferenciado",$H$4=#REF!),BDI!$G$17,IF(AND(#REF!="Diferenciado",$H$4=#REF!),BDI!$H$17,IF(#REF!="ZERO",0))))),"")</f>
        <v>#REF!</v>
      </c>
      <c r="H245" s="161" t="e">
        <f t="shared" ca="1" si="10"/>
        <v>#REF!</v>
      </c>
      <c r="I245" s="159" t="e">
        <f t="shared" ca="1" si="11"/>
        <v>#REF!</v>
      </c>
    </row>
    <row r="246" spans="1:9" hidden="1" x14ac:dyDescent="0.25">
      <c r="A246" s="102" t="s">
        <v>943</v>
      </c>
      <c r="B246" s="103" t="s">
        <v>2986</v>
      </c>
      <c r="C246" s="104" t="s">
        <v>184</v>
      </c>
      <c r="D246" s="104">
        <v>0</v>
      </c>
      <c r="E246" s="158">
        <f ca="1">OFFSET(INDEX(Composições!A:J,MATCH(Orçamentária!A246,Composições!A:A,0),10),2,0)</f>
        <v>33.394150150000002</v>
      </c>
      <c r="F246" s="159">
        <f t="shared" ca="1" si="9"/>
        <v>0</v>
      </c>
      <c r="G246" s="160" t="e">
        <f>IF(A246&lt;&gt;"",IF(AND(#REF!="Padrão",$H$4=#REF!),BDI!$B$17,IF(AND(#REF!="Padrão",$H$4=#REF!),BDI!$C$17,IF(AND(#REF!="Diferenciado",$H$4=#REF!),BDI!$G$17,IF(AND(#REF!="Diferenciado",$H$4=#REF!),BDI!$H$17,IF(#REF!="ZERO",0))))),"")</f>
        <v>#REF!</v>
      </c>
      <c r="H246" s="161" t="e">
        <f t="shared" ca="1" si="10"/>
        <v>#REF!</v>
      </c>
      <c r="I246" s="159" t="e">
        <f t="shared" ca="1" si="11"/>
        <v>#REF!</v>
      </c>
    </row>
    <row r="247" spans="1:9" hidden="1" x14ac:dyDescent="0.25">
      <c r="A247" s="102" t="s">
        <v>949</v>
      </c>
      <c r="B247" s="103" t="s">
        <v>2987</v>
      </c>
      <c r="C247" s="104" t="s">
        <v>184</v>
      </c>
      <c r="D247" s="104">
        <v>0</v>
      </c>
      <c r="E247" s="158">
        <f ca="1">OFFSET(INDEX(Composições!A:J,MATCH(Orçamentária!A247,Composições!A:A,0),10),2,0)</f>
        <v>33.394150150000002</v>
      </c>
      <c r="F247" s="159">
        <f t="shared" ca="1" si="9"/>
        <v>0</v>
      </c>
      <c r="G247" s="160" t="e">
        <f>IF(A247&lt;&gt;"",IF(AND(#REF!="Padrão",$H$4=#REF!),BDI!$B$17,IF(AND(#REF!="Padrão",$H$4=#REF!),BDI!$C$17,IF(AND(#REF!="Diferenciado",$H$4=#REF!),BDI!$G$17,IF(AND(#REF!="Diferenciado",$H$4=#REF!),BDI!$H$17,IF(#REF!="ZERO",0))))),"")</f>
        <v>#REF!</v>
      </c>
      <c r="H247" s="161" t="e">
        <f t="shared" ca="1" si="10"/>
        <v>#REF!</v>
      </c>
      <c r="I247" s="159" t="e">
        <f t="shared" ca="1" si="11"/>
        <v>#REF!</v>
      </c>
    </row>
    <row r="248" spans="1:9" hidden="1" x14ac:dyDescent="0.25">
      <c r="A248" s="102" t="s">
        <v>955</v>
      </c>
      <c r="B248" s="103" t="s">
        <v>2988</v>
      </c>
      <c r="C248" s="104" t="s">
        <v>184</v>
      </c>
      <c r="D248" s="104">
        <v>0</v>
      </c>
      <c r="E248" s="158">
        <f ca="1">OFFSET(INDEX(Composições!A:J,MATCH(Orçamentária!A248,Composições!A:A,0),10),2,0)</f>
        <v>24.403072749999993</v>
      </c>
      <c r="F248" s="159">
        <f t="shared" ca="1" si="9"/>
        <v>0</v>
      </c>
      <c r="G248" s="160" t="e">
        <f>IF(A248&lt;&gt;"",IF(AND(#REF!="Padrão",$H$4=#REF!),BDI!$B$17,IF(AND(#REF!="Padrão",$H$4=#REF!),BDI!$C$17,IF(AND(#REF!="Diferenciado",$H$4=#REF!),BDI!$G$17,IF(AND(#REF!="Diferenciado",$H$4=#REF!),BDI!$H$17,IF(#REF!="ZERO",0))))),"")</f>
        <v>#REF!</v>
      </c>
      <c r="H248" s="161" t="e">
        <f t="shared" ca="1" si="10"/>
        <v>#REF!</v>
      </c>
      <c r="I248" s="198" t="e">
        <f t="shared" ca="1" si="11"/>
        <v>#REF!</v>
      </c>
    </row>
    <row r="249" spans="1:9" x14ac:dyDescent="0.25">
      <c r="A249" s="204" t="s">
        <v>961</v>
      </c>
      <c r="B249" s="205" t="s">
        <v>2989</v>
      </c>
      <c r="C249" s="206" t="s">
        <v>184</v>
      </c>
      <c r="D249" s="206">
        <v>4.9000000000000004</v>
      </c>
      <c r="E249" s="158">
        <f ca="1">OFFSET(INDEX(Composições!A:J,MATCH(Orçamentária!A249,Composições!A:A,0),10),2,0)</f>
        <v>31.942178814475</v>
      </c>
      <c r="F249" s="159">
        <f t="shared" ca="1" si="9"/>
        <v>156.51667619092751</v>
      </c>
      <c r="G249" s="160">
        <f>BDI!$C$17</f>
        <v>0.24479999999999999</v>
      </c>
      <c r="H249" s="161">
        <f t="shared" ca="1" si="10"/>
        <v>39.76</v>
      </c>
      <c r="I249" s="202">
        <f t="shared" ca="1" si="11"/>
        <v>194.82</v>
      </c>
    </row>
    <row r="250" spans="1:9" hidden="1" x14ac:dyDescent="0.25">
      <c r="A250" s="102" t="s">
        <v>970</v>
      </c>
      <c r="B250" s="103" t="s">
        <v>2990</v>
      </c>
      <c r="C250" s="104" t="s">
        <v>184</v>
      </c>
      <c r="D250" s="104">
        <v>0</v>
      </c>
      <c r="E250" s="158">
        <f ca="1">OFFSET(INDEX(Composições!A:J,MATCH(Orçamentária!A250,Composições!A:A,0),10),2,0)</f>
        <v>14.462877568450001</v>
      </c>
      <c r="F250" s="159">
        <f t="shared" ca="1" si="9"/>
        <v>0</v>
      </c>
      <c r="G250" s="160" t="e">
        <f>IF(A250&lt;&gt;"",IF(AND(#REF!="Padrão",$H$4=#REF!),BDI!$B$17,IF(AND(#REF!="Padrão",$H$4=#REF!),BDI!$C$17,IF(AND(#REF!="Diferenciado",$H$4=#REF!),BDI!$G$17,IF(AND(#REF!="Diferenciado",$H$4=#REF!),BDI!$H$17,IF(#REF!="ZERO",0))))),"")</f>
        <v>#REF!</v>
      </c>
      <c r="H250" s="161" t="e">
        <f t="shared" ca="1" si="10"/>
        <v>#REF!</v>
      </c>
      <c r="I250" s="198" t="e">
        <f t="shared" ca="1" si="11"/>
        <v>#REF!</v>
      </c>
    </row>
    <row r="251" spans="1:9" x14ac:dyDescent="0.25">
      <c r="A251" s="204" t="s">
        <v>977</v>
      </c>
      <c r="B251" s="205" t="s">
        <v>2991</v>
      </c>
      <c r="C251" s="206" t="s">
        <v>184</v>
      </c>
      <c r="D251" s="206">
        <v>16.8</v>
      </c>
      <c r="E251" s="158">
        <f ca="1">OFFSET(INDEX(Composições!A:J,MATCH(Orçamentária!A251,Composições!A:A,0),10),2,0)</f>
        <v>20.465898451424998</v>
      </c>
      <c r="F251" s="159">
        <f t="shared" ca="1" si="9"/>
        <v>343.82709398393996</v>
      </c>
      <c r="G251" s="160">
        <f>BDI!$C$17</f>
        <v>0.24479999999999999</v>
      </c>
      <c r="H251" s="161">
        <f t="shared" ca="1" si="10"/>
        <v>25.48</v>
      </c>
      <c r="I251" s="202">
        <f t="shared" ca="1" si="11"/>
        <v>428.06</v>
      </c>
    </row>
    <row r="252" spans="1:9" hidden="1" x14ac:dyDescent="0.25">
      <c r="A252" s="102" t="s">
        <v>984</v>
      </c>
      <c r="B252" s="103" t="s">
        <v>2992</v>
      </c>
      <c r="C252" s="104" t="s">
        <v>184</v>
      </c>
      <c r="D252" s="104">
        <v>0</v>
      </c>
      <c r="E252" s="158">
        <f ca="1">OFFSET(INDEX(Composições!A:J,MATCH(Orçamentária!A252,Composições!A:A,0),10),2,0)</f>
        <v>19.384407164474997</v>
      </c>
      <c r="F252" s="159">
        <f t="shared" ca="1" si="9"/>
        <v>0</v>
      </c>
      <c r="G252" s="160" t="e">
        <f>IF(A252&lt;&gt;"",IF(AND(#REF!="Padrão",$H$4=#REF!),BDI!$B$17,IF(AND(#REF!="Padrão",$H$4=#REF!),BDI!$C$17,IF(AND(#REF!="Diferenciado",$H$4=#REF!),BDI!$G$17,IF(AND(#REF!="Diferenciado",$H$4=#REF!),BDI!$H$17,IF(#REF!="ZERO",0))))),"")</f>
        <v>#REF!</v>
      </c>
      <c r="H252" s="161" t="e">
        <f t="shared" ca="1" si="10"/>
        <v>#REF!</v>
      </c>
      <c r="I252" s="198" t="e">
        <f t="shared" ca="1" si="11"/>
        <v>#REF!</v>
      </c>
    </row>
    <row r="253" spans="1:9" x14ac:dyDescent="0.25">
      <c r="A253" s="204" t="s">
        <v>992</v>
      </c>
      <c r="B253" s="205" t="s">
        <v>2993</v>
      </c>
      <c r="C253" s="206" t="s">
        <v>184</v>
      </c>
      <c r="D253" s="206">
        <v>89.54</v>
      </c>
      <c r="E253" s="158">
        <f ca="1">OFFSET(INDEX(Composições!A:J,MATCH(Orçamentária!A253,Composições!A:A,0),10),2,0)</f>
        <v>17.917554447074998</v>
      </c>
      <c r="F253" s="159">
        <f t="shared" ca="1" si="9"/>
        <v>1604.3378251910954</v>
      </c>
      <c r="G253" s="160">
        <f>BDI!$C$17</f>
        <v>0.24479999999999999</v>
      </c>
      <c r="H253" s="161">
        <f t="shared" ca="1" si="10"/>
        <v>22.3</v>
      </c>
      <c r="I253" s="202">
        <f t="shared" ca="1" si="11"/>
        <v>1996.74</v>
      </c>
    </row>
    <row r="254" spans="1:9" hidden="1" x14ac:dyDescent="0.25">
      <c r="A254" s="102" t="s">
        <v>999</v>
      </c>
      <c r="B254" s="103" t="s">
        <v>2994</v>
      </c>
      <c r="C254" s="104" t="s">
        <v>184</v>
      </c>
      <c r="D254" s="104">
        <v>0</v>
      </c>
      <c r="E254" s="158">
        <f ca="1">OFFSET(INDEX(Composições!A:J,MATCH(Orçamentária!A254,Composições!A:A,0),10),2,0)</f>
        <v>9.8931764999999992</v>
      </c>
      <c r="F254" s="159">
        <f t="shared" ca="1" si="9"/>
        <v>0</v>
      </c>
      <c r="G254" s="160" t="e">
        <f>IF(A254&lt;&gt;"",IF(AND(#REF!="Padrão",$H$4=#REF!),BDI!$B$17,IF(AND(#REF!="Padrão",$H$4=#REF!),BDI!$C$17,IF(AND(#REF!="Diferenciado",$H$4=#REF!),BDI!$G$17,IF(AND(#REF!="Diferenciado",$H$4=#REF!),BDI!$H$17,IF(#REF!="ZERO",0))))),"")</f>
        <v>#REF!</v>
      </c>
      <c r="H254" s="161" t="e">
        <f t="shared" ca="1" si="10"/>
        <v>#REF!</v>
      </c>
      <c r="I254" s="159" t="e">
        <f t="shared" ca="1" si="11"/>
        <v>#REF!</v>
      </c>
    </row>
    <row r="255" spans="1:9" hidden="1" x14ac:dyDescent="0.25">
      <c r="A255" s="102" t="s">
        <v>1006</v>
      </c>
      <c r="B255" s="103" t="s">
        <v>2995</v>
      </c>
      <c r="C255" s="104" t="s">
        <v>184</v>
      </c>
      <c r="D255" s="104">
        <v>0</v>
      </c>
      <c r="E255" s="158">
        <f ca="1">OFFSET(INDEX(Composições!A:J,MATCH(Orçamentária!A255,Composições!A:A,0),10),2,0)</f>
        <v>6.9557765000000007</v>
      </c>
      <c r="F255" s="159">
        <f t="shared" ca="1" si="9"/>
        <v>0</v>
      </c>
      <c r="G255" s="160" t="e">
        <f>IF(A255&lt;&gt;"",IF(AND(#REF!="Padrão",$H$4=#REF!),BDI!$B$17,IF(AND(#REF!="Padrão",$H$4=#REF!),BDI!$C$17,IF(AND(#REF!="Diferenciado",$H$4=#REF!),BDI!$G$17,IF(AND(#REF!="Diferenciado",$H$4=#REF!),BDI!$H$17,IF(#REF!="ZERO",0))))),"")</f>
        <v>#REF!</v>
      </c>
      <c r="H255" s="161" t="e">
        <f t="shared" ca="1" si="10"/>
        <v>#REF!</v>
      </c>
      <c r="I255" s="198" t="e">
        <f t="shared" ca="1" si="11"/>
        <v>#REF!</v>
      </c>
    </row>
    <row r="256" spans="1:9" x14ac:dyDescent="0.25">
      <c r="A256" s="204" t="s">
        <v>1011</v>
      </c>
      <c r="B256" s="205" t="s">
        <v>2996</v>
      </c>
      <c r="C256" s="206" t="s">
        <v>184</v>
      </c>
      <c r="D256" s="206">
        <v>1.5</v>
      </c>
      <c r="E256" s="158">
        <f ca="1">OFFSET(INDEX(Composições!A:J,MATCH(Orçamentária!A256,Composições!A:A,0),10),2,0)</f>
        <v>17.785529499999999</v>
      </c>
      <c r="F256" s="159">
        <f t="shared" ca="1" si="9"/>
        <v>26.67829425</v>
      </c>
      <c r="G256" s="160">
        <f>BDI!$C$17</f>
        <v>0.24479999999999999</v>
      </c>
      <c r="H256" s="161">
        <f t="shared" ca="1" si="10"/>
        <v>22.14</v>
      </c>
      <c r="I256" s="202">
        <f t="shared" ca="1" si="11"/>
        <v>33.21</v>
      </c>
    </row>
    <row r="257" spans="1:9" x14ac:dyDescent="0.25">
      <c r="A257" s="204" t="s">
        <v>1018</v>
      </c>
      <c r="B257" s="205" t="s">
        <v>2997</v>
      </c>
      <c r="C257" s="206" t="s">
        <v>184</v>
      </c>
      <c r="D257" s="206">
        <v>11.66</v>
      </c>
      <c r="E257" s="158">
        <f ca="1">OFFSET(INDEX(Composições!A:J,MATCH(Orçamentária!A257,Composições!A:A,0),10),2,0)</f>
        <v>13.750879499999998</v>
      </c>
      <c r="F257" s="159">
        <f t="shared" ca="1" si="9"/>
        <v>160.33525496999999</v>
      </c>
      <c r="G257" s="160">
        <f>BDI!$C$17</f>
        <v>0.24479999999999999</v>
      </c>
      <c r="H257" s="161">
        <f t="shared" ca="1" si="10"/>
        <v>17.12</v>
      </c>
      <c r="I257" s="199">
        <f t="shared" ca="1" si="11"/>
        <v>199.62</v>
      </c>
    </row>
    <row r="258" spans="1:9" hidden="1" x14ac:dyDescent="0.25">
      <c r="A258" s="102" t="s">
        <v>1023</v>
      </c>
      <c r="B258" s="103" t="s">
        <v>2998</v>
      </c>
      <c r="C258" s="104" t="s">
        <v>184</v>
      </c>
      <c r="D258" s="104">
        <v>0</v>
      </c>
      <c r="E258" s="158">
        <f ca="1">OFFSET(INDEX(Composições!A:J,MATCH(Orçamentária!A258,Composições!A:A,0),10),2,0)</f>
        <v>22.513309</v>
      </c>
      <c r="F258" s="159">
        <f t="shared" ca="1" si="9"/>
        <v>0</v>
      </c>
      <c r="G258" s="160" t="e">
        <f>IF(A258&lt;&gt;"",IF(AND(#REF!="Padrão",$H$4=#REF!),BDI!$B$17,IF(AND(#REF!="Padrão",$H$4=#REF!),BDI!$C$17,IF(AND(#REF!="Diferenciado",$H$4=#REF!),BDI!$G$17,IF(AND(#REF!="Diferenciado",$H$4=#REF!),BDI!$H$17,IF(#REF!="ZERO",0))))),"")</f>
        <v>#REF!</v>
      </c>
      <c r="H258" s="161" t="e">
        <f t="shared" ca="1" si="10"/>
        <v>#REF!</v>
      </c>
      <c r="I258" s="198" t="e">
        <f t="shared" ca="1" si="11"/>
        <v>#REF!</v>
      </c>
    </row>
    <row r="259" spans="1:9" x14ac:dyDescent="0.25">
      <c r="A259" s="204" t="s">
        <v>1031</v>
      </c>
      <c r="B259" s="205" t="s">
        <v>2999</v>
      </c>
      <c r="C259" s="206" t="s">
        <v>32</v>
      </c>
      <c r="D259" s="206">
        <v>42</v>
      </c>
      <c r="E259" s="158">
        <f ca="1">OFFSET(INDEX(Composições!A:J,MATCH(Orçamentária!A259,Composições!A:A,0),10),2,0)</f>
        <v>5.5850879999999989</v>
      </c>
      <c r="F259" s="159">
        <f t="shared" ca="1" si="9"/>
        <v>234.57369599999996</v>
      </c>
      <c r="G259" s="160">
        <f>BDI!$C$17</f>
        <v>0.24479999999999999</v>
      </c>
      <c r="H259" s="161">
        <f t="shared" ca="1" si="10"/>
        <v>6.95</v>
      </c>
      <c r="I259" s="202">
        <f t="shared" ca="1" si="11"/>
        <v>291.89999999999998</v>
      </c>
    </row>
    <row r="260" spans="1:9" x14ac:dyDescent="0.25">
      <c r="A260" s="204" t="s">
        <v>1037</v>
      </c>
      <c r="B260" s="205" t="s">
        <v>3000</v>
      </c>
      <c r="C260" s="206" t="s">
        <v>32</v>
      </c>
      <c r="D260" s="206">
        <v>4</v>
      </c>
      <c r="E260" s="158">
        <f ca="1">OFFSET(INDEX(Composições!A:J,MATCH(Orçamentária!A260,Composições!A:A,0),10),2,0)</f>
        <v>9.3806039999999999</v>
      </c>
      <c r="F260" s="159">
        <f t="shared" ca="1" si="9"/>
        <v>37.522416</v>
      </c>
      <c r="G260" s="160">
        <f>BDI!$C$17</f>
        <v>0.24479999999999999</v>
      </c>
      <c r="H260" s="161">
        <f t="shared" ca="1" si="10"/>
        <v>11.68</v>
      </c>
      <c r="I260" s="199">
        <f t="shared" ca="1" si="11"/>
        <v>46.72</v>
      </c>
    </row>
    <row r="261" spans="1:9" hidden="1" x14ac:dyDescent="0.25">
      <c r="A261" s="102" t="s">
        <v>1043</v>
      </c>
      <c r="B261" s="103" t="s">
        <v>1045</v>
      </c>
      <c r="C261" s="104" t="s">
        <v>32</v>
      </c>
      <c r="D261" s="104">
        <v>0</v>
      </c>
      <c r="E261" s="158">
        <f ca="1">OFFSET(INDEX(Composições!A:J,MATCH(Orçamentária!A261,Composições!A:A,0),10),2,0)</f>
        <v>4.1841039999999996</v>
      </c>
      <c r="F261" s="159">
        <f t="shared" ca="1" si="9"/>
        <v>0</v>
      </c>
      <c r="G261" s="160" t="e">
        <f>IF(A261&lt;&gt;"",IF(AND(#REF!="Padrão",$H$4=#REF!),BDI!$B$17,IF(AND(#REF!="Padrão",$H$4=#REF!),BDI!$C$17,IF(AND(#REF!="Diferenciado",$H$4=#REF!),BDI!$G$17,IF(AND(#REF!="Diferenciado",$H$4=#REF!),BDI!$H$17,IF(#REF!="ZERO",0))))),"")</f>
        <v>#REF!</v>
      </c>
      <c r="H261" s="161" t="e">
        <f t="shared" ca="1" si="10"/>
        <v>#REF!</v>
      </c>
      <c r="I261" s="159" t="e">
        <f t="shared" ca="1" si="11"/>
        <v>#REF!</v>
      </c>
    </row>
    <row r="262" spans="1:9" hidden="1" x14ac:dyDescent="0.25">
      <c r="A262" s="102" t="s">
        <v>1046</v>
      </c>
      <c r="B262" s="103" t="s">
        <v>3001</v>
      </c>
      <c r="C262" s="104" t="s">
        <v>32</v>
      </c>
      <c r="D262" s="104">
        <v>0</v>
      </c>
      <c r="E262" s="158">
        <f ca="1">OFFSET(INDEX(Composições!A:J,MATCH(Orçamentária!A262,Composições!A:A,0),10),2,0)</f>
        <v>5.1798749999999991</v>
      </c>
      <c r="F262" s="159">
        <f t="shared" ca="1" si="9"/>
        <v>0</v>
      </c>
      <c r="G262" s="160" t="e">
        <f>IF(A262&lt;&gt;"",IF(AND(#REF!="Padrão",$H$4=#REF!),BDI!$B$17,IF(AND(#REF!="Padrão",$H$4=#REF!),BDI!$C$17,IF(AND(#REF!="Diferenciado",$H$4=#REF!),BDI!$G$17,IF(AND(#REF!="Diferenciado",$H$4=#REF!),BDI!$H$17,IF(#REF!="ZERO",0))))),"")</f>
        <v>#REF!</v>
      </c>
      <c r="H262" s="161" t="e">
        <f t="shared" ca="1" si="10"/>
        <v>#REF!</v>
      </c>
      <c r="I262" s="198" t="e">
        <f t="shared" ca="1" si="11"/>
        <v>#REF!</v>
      </c>
    </row>
    <row r="263" spans="1:9" x14ac:dyDescent="0.25">
      <c r="A263" s="204" t="s">
        <v>1051</v>
      </c>
      <c r="B263" s="205" t="s">
        <v>1054</v>
      </c>
      <c r="C263" s="206" t="s">
        <v>32</v>
      </c>
      <c r="D263" s="206">
        <v>96</v>
      </c>
      <c r="E263" s="158">
        <f ca="1">OFFSET(INDEX(Composições!A:J,MATCH(Orçamentária!A263,Composições!A:A,0),10),2,0)</f>
        <v>3.50135</v>
      </c>
      <c r="F263" s="159">
        <f t="shared" ref="F263:F326" ca="1" si="12">IF(ISNUMBER(E263),D263*E263,"")</f>
        <v>336.12959999999998</v>
      </c>
      <c r="G263" s="160">
        <f>BDI!$C$17</f>
        <v>0.24479999999999999</v>
      </c>
      <c r="H263" s="161">
        <f t="shared" ref="H263:H326" ca="1" si="13">IF(ISNUMBER(E263),ROUND(E263*(1+G263),2),"")</f>
        <v>4.3600000000000003</v>
      </c>
      <c r="I263" s="202">
        <f t="shared" ref="I263:I326" ca="1" si="14">IF(ISNUMBER(E263),ROUND(H263*D263,2),"")</f>
        <v>418.56</v>
      </c>
    </row>
    <row r="264" spans="1:9" hidden="1" x14ac:dyDescent="0.25">
      <c r="A264" s="102" t="s">
        <v>1055</v>
      </c>
      <c r="B264" s="103" t="s">
        <v>3002</v>
      </c>
      <c r="C264" s="104" t="s">
        <v>32</v>
      </c>
      <c r="D264" s="104">
        <v>0</v>
      </c>
      <c r="E264" s="158">
        <f ca="1">OFFSET(INDEX(Composições!A:J,MATCH(Orçamentária!A264,Composições!A:A,0),10),2,0)</f>
        <v>18.502009999999999</v>
      </c>
      <c r="F264" s="159">
        <f t="shared" ca="1" si="12"/>
        <v>0</v>
      </c>
      <c r="G264" s="160" t="e">
        <f>IF(A264&lt;&gt;"",IF(AND(#REF!="Padrão",$H$4=#REF!),BDI!$B$17,IF(AND(#REF!="Padrão",$H$4=#REF!),BDI!$C$17,IF(AND(#REF!="Diferenciado",$H$4=#REF!),BDI!$G$17,IF(AND(#REF!="Diferenciado",$H$4=#REF!),BDI!$H$17,IF(#REF!="ZERO",0))))),"")</f>
        <v>#REF!</v>
      </c>
      <c r="H264" s="161" t="e">
        <f t="shared" ca="1" si="13"/>
        <v>#REF!</v>
      </c>
      <c r="I264" s="198" t="e">
        <f t="shared" ca="1" si="14"/>
        <v>#REF!</v>
      </c>
    </row>
    <row r="265" spans="1:9" x14ac:dyDescent="0.25">
      <c r="A265" s="204" t="s">
        <v>1059</v>
      </c>
      <c r="B265" s="205" t="s">
        <v>3003</v>
      </c>
      <c r="C265" s="206" t="s">
        <v>32</v>
      </c>
      <c r="D265" s="206">
        <v>8</v>
      </c>
      <c r="E265" s="158">
        <f ca="1">OFFSET(INDEX(Composições!A:J,MATCH(Orçamentária!A265,Composições!A:A,0),10),2,0)</f>
        <v>13.802312499999999</v>
      </c>
      <c r="F265" s="159">
        <f t="shared" ca="1" si="12"/>
        <v>110.41849999999999</v>
      </c>
      <c r="G265" s="160">
        <f>BDI!$C$17</f>
        <v>0.24479999999999999</v>
      </c>
      <c r="H265" s="161">
        <f t="shared" ca="1" si="13"/>
        <v>17.18</v>
      </c>
      <c r="I265" s="202">
        <f t="shared" ca="1" si="14"/>
        <v>137.44</v>
      </c>
    </row>
    <row r="266" spans="1:9" x14ac:dyDescent="0.25">
      <c r="A266" s="204" t="s">
        <v>1063</v>
      </c>
      <c r="B266" s="205" t="s">
        <v>1064</v>
      </c>
      <c r="C266" s="206" t="s">
        <v>32</v>
      </c>
      <c r="D266" s="206">
        <v>3</v>
      </c>
      <c r="E266" s="158">
        <f ca="1">OFFSET(INDEX(Composições!A:J,MATCH(Orçamentária!A266,Composições!A:A,0),10),2,0)</f>
        <v>3.6013500000000001</v>
      </c>
      <c r="F266" s="159">
        <f t="shared" ca="1" si="12"/>
        <v>10.80405</v>
      </c>
      <c r="G266" s="160">
        <f>BDI!$C$17</f>
        <v>0.24479999999999999</v>
      </c>
      <c r="H266" s="161">
        <f t="shared" ca="1" si="13"/>
        <v>4.4800000000000004</v>
      </c>
      <c r="I266" s="199">
        <f t="shared" ca="1" si="14"/>
        <v>13.44</v>
      </c>
    </row>
    <row r="267" spans="1:9" x14ac:dyDescent="0.25">
      <c r="A267" s="204" t="s">
        <v>1065</v>
      </c>
      <c r="B267" s="205" t="s">
        <v>1067</v>
      </c>
      <c r="C267" s="206" t="s">
        <v>32</v>
      </c>
      <c r="D267" s="206">
        <v>3</v>
      </c>
      <c r="E267" s="158">
        <f ca="1">OFFSET(INDEX(Composições!A:J,MATCH(Orçamentária!A267,Composições!A:A,0),10),2,0)</f>
        <v>114.11601</v>
      </c>
      <c r="F267" s="159">
        <f t="shared" ca="1" si="12"/>
        <v>342.34802999999999</v>
      </c>
      <c r="G267" s="160">
        <f>BDI!$C$17</f>
        <v>0.24479999999999999</v>
      </c>
      <c r="H267" s="161">
        <f t="shared" ca="1" si="13"/>
        <v>142.05000000000001</v>
      </c>
      <c r="I267" s="199">
        <f t="shared" ca="1" si="14"/>
        <v>426.15</v>
      </c>
    </row>
    <row r="268" spans="1:9" x14ac:dyDescent="0.25">
      <c r="A268" s="204" t="s">
        <v>1068</v>
      </c>
      <c r="B268" s="205" t="s">
        <v>3004</v>
      </c>
      <c r="C268" s="206" t="s">
        <v>32</v>
      </c>
      <c r="D268" s="206">
        <v>17</v>
      </c>
      <c r="E268" s="158">
        <f ca="1">OFFSET(INDEX(Composições!A:J,MATCH(Orçamentária!A268,Composições!A:A,0),10),2,0)</f>
        <v>14.983637499999999</v>
      </c>
      <c r="F268" s="159">
        <f t="shared" ca="1" si="12"/>
        <v>254.72183749999996</v>
      </c>
      <c r="G268" s="160">
        <f>BDI!$C$17</f>
        <v>0.24479999999999999</v>
      </c>
      <c r="H268" s="161">
        <f t="shared" ca="1" si="13"/>
        <v>18.649999999999999</v>
      </c>
      <c r="I268" s="199">
        <f t="shared" ca="1" si="14"/>
        <v>317.05</v>
      </c>
    </row>
    <row r="269" spans="1:9" x14ac:dyDescent="0.25">
      <c r="A269" s="204" t="s">
        <v>1072</v>
      </c>
      <c r="B269" s="205" t="s">
        <v>3005</v>
      </c>
      <c r="C269" s="206" t="s">
        <v>32</v>
      </c>
      <c r="D269" s="206">
        <v>13</v>
      </c>
      <c r="E269" s="158">
        <f ca="1">OFFSET(INDEX(Composições!A:J,MATCH(Orçamentária!A269,Composições!A:A,0),10),2,0)</f>
        <v>16.902637499999997</v>
      </c>
      <c r="F269" s="159">
        <f t="shared" ca="1" si="12"/>
        <v>219.73428749999997</v>
      </c>
      <c r="G269" s="160">
        <f>BDI!$C$17</f>
        <v>0.24479999999999999</v>
      </c>
      <c r="H269" s="161">
        <f t="shared" ca="1" si="13"/>
        <v>21.04</v>
      </c>
      <c r="I269" s="199">
        <f t="shared" ca="1" si="14"/>
        <v>273.52</v>
      </c>
    </row>
    <row r="270" spans="1:9" hidden="1" x14ac:dyDescent="0.25">
      <c r="A270" s="102" t="s">
        <v>1076</v>
      </c>
      <c r="B270" s="103" t="s">
        <v>1080</v>
      </c>
      <c r="C270" s="104" t="s">
        <v>32</v>
      </c>
      <c r="D270" s="104">
        <v>0</v>
      </c>
      <c r="E270" s="158">
        <f ca="1">OFFSET(INDEX(Composições!A:J,MATCH(Orçamentária!A270,Composições!A:A,0),10),2,0)</f>
        <v>6.0431874999999993</v>
      </c>
      <c r="F270" s="159">
        <f t="shared" ca="1" si="12"/>
        <v>0</v>
      </c>
      <c r="G270" s="160" t="e">
        <f>IF(A270&lt;&gt;"",IF(AND(#REF!="Padrão",$H$4=#REF!),BDI!$B$17,IF(AND(#REF!="Padrão",$H$4=#REF!),BDI!$C$17,IF(AND(#REF!="Diferenciado",$H$4=#REF!),BDI!$G$17,IF(AND(#REF!="Diferenciado",$H$4=#REF!),BDI!$H$17,IF(#REF!="ZERO",0))))),"")</f>
        <v>#REF!</v>
      </c>
      <c r="H270" s="161" t="e">
        <f t="shared" ca="1" si="13"/>
        <v>#REF!</v>
      </c>
      <c r="I270" s="159" t="e">
        <f t="shared" ca="1" si="14"/>
        <v>#REF!</v>
      </c>
    </row>
    <row r="271" spans="1:9" hidden="1" x14ac:dyDescent="0.25">
      <c r="A271" s="102" t="s">
        <v>1081</v>
      </c>
      <c r="B271" s="103" t="s">
        <v>3006</v>
      </c>
      <c r="C271" s="104" t="s">
        <v>32</v>
      </c>
      <c r="D271" s="104">
        <v>0</v>
      </c>
      <c r="E271" s="158">
        <f ca="1">OFFSET(INDEX(Composições!A:J,MATCH(Orçamentária!A271,Composições!A:A,0),10),2,0)</f>
        <v>1.5219</v>
      </c>
      <c r="F271" s="159">
        <f t="shared" ca="1" si="12"/>
        <v>0</v>
      </c>
      <c r="G271" s="160" t="e">
        <f>IF(A271&lt;&gt;"",IF(AND(#REF!="Padrão",$H$4=#REF!),BDI!$B$17,IF(AND(#REF!="Padrão",$H$4=#REF!),BDI!$C$17,IF(AND(#REF!="Diferenciado",$H$4=#REF!),BDI!$G$17,IF(AND(#REF!="Diferenciado",$H$4=#REF!),BDI!$H$17,IF(#REF!="ZERO",0))))),"")</f>
        <v>#REF!</v>
      </c>
      <c r="H271" s="161" t="e">
        <f t="shared" ca="1" si="13"/>
        <v>#REF!</v>
      </c>
      <c r="I271" s="159" t="e">
        <f t="shared" ca="1" si="14"/>
        <v>#REF!</v>
      </c>
    </row>
    <row r="272" spans="1:9" hidden="1" x14ac:dyDescent="0.25">
      <c r="A272" s="102" t="s">
        <v>1083</v>
      </c>
      <c r="B272" s="103" t="s">
        <v>3007</v>
      </c>
      <c r="C272" s="104" t="s">
        <v>32</v>
      </c>
      <c r="D272" s="104">
        <v>0</v>
      </c>
      <c r="E272" s="158">
        <f ca="1">OFFSET(INDEX(Composições!A:J,MATCH(Orçamentária!A272,Composições!A:A,0),10),2,0)</f>
        <v>1.5219</v>
      </c>
      <c r="F272" s="159">
        <f t="shared" ca="1" si="12"/>
        <v>0</v>
      </c>
      <c r="G272" s="160" t="e">
        <f>IF(A272&lt;&gt;"",IF(AND(#REF!="Padrão",$H$4=#REF!),BDI!$B$17,IF(AND(#REF!="Padrão",$H$4=#REF!),BDI!$C$17,IF(AND(#REF!="Diferenciado",$H$4=#REF!),BDI!$G$17,IF(AND(#REF!="Diferenciado",$H$4=#REF!),BDI!$H$17,IF(#REF!="ZERO",0))))),"")</f>
        <v>#REF!</v>
      </c>
      <c r="H272" s="161" t="e">
        <f t="shared" ca="1" si="13"/>
        <v>#REF!</v>
      </c>
      <c r="I272" s="159" t="e">
        <f t="shared" ca="1" si="14"/>
        <v>#REF!</v>
      </c>
    </row>
    <row r="273" spans="1:9" hidden="1" x14ac:dyDescent="0.25">
      <c r="A273" s="102" t="s">
        <v>1085</v>
      </c>
      <c r="B273" s="103" t="s">
        <v>3008</v>
      </c>
      <c r="C273" s="104" t="s">
        <v>32</v>
      </c>
      <c r="D273" s="104">
        <v>0</v>
      </c>
      <c r="E273" s="158">
        <f ca="1">OFFSET(INDEX(Composições!A:J,MATCH(Orçamentária!A273,Composições!A:A,0),10),2,0)</f>
        <v>2.2828499999999998</v>
      </c>
      <c r="F273" s="159">
        <f t="shared" ca="1" si="12"/>
        <v>0</v>
      </c>
      <c r="G273" s="160" t="e">
        <f>IF(A273&lt;&gt;"",IF(AND(#REF!="Padrão",$H$4=#REF!),BDI!$B$17,IF(AND(#REF!="Padrão",$H$4=#REF!),BDI!$C$17,IF(AND(#REF!="Diferenciado",$H$4=#REF!),BDI!$G$17,IF(AND(#REF!="Diferenciado",$H$4=#REF!),BDI!$H$17,IF(#REF!="ZERO",0))))),"")</f>
        <v>#REF!</v>
      </c>
      <c r="H273" s="161" t="e">
        <f t="shared" ca="1" si="13"/>
        <v>#REF!</v>
      </c>
      <c r="I273" s="198" t="e">
        <f t="shared" ca="1" si="14"/>
        <v>#REF!</v>
      </c>
    </row>
    <row r="274" spans="1:9" x14ac:dyDescent="0.25">
      <c r="A274" s="204" t="s">
        <v>1088</v>
      </c>
      <c r="B274" s="205" t="s">
        <v>3009</v>
      </c>
      <c r="C274" s="206" t="s">
        <v>32</v>
      </c>
      <c r="D274" s="206">
        <v>2</v>
      </c>
      <c r="E274" s="158">
        <f ca="1">OFFSET(INDEX(Composições!A:J,MATCH(Orçamentária!A274,Composições!A:A,0),10),2,0)</f>
        <v>10.389875</v>
      </c>
      <c r="F274" s="159">
        <f t="shared" ca="1" si="12"/>
        <v>20.77975</v>
      </c>
      <c r="G274" s="160">
        <f>BDI!$C$17</f>
        <v>0.24479999999999999</v>
      </c>
      <c r="H274" s="161">
        <f t="shared" ca="1" si="13"/>
        <v>12.93</v>
      </c>
      <c r="I274" s="202">
        <f t="shared" ca="1" si="14"/>
        <v>25.86</v>
      </c>
    </row>
    <row r="275" spans="1:9" hidden="1" x14ac:dyDescent="0.25">
      <c r="A275" s="102" t="s">
        <v>1090</v>
      </c>
      <c r="B275" s="103" t="s">
        <v>3010</v>
      </c>
      <c r="C275" s="104" t="s">
        <v>32</v>
      </c>
      <c r="D275" s="104">
        <v>0</v>
      </c>
      <c r="E275" s="158">
        <f ca="1">OFFSET(INDEX(Composições!A:J,MATCH(Orçamentária!A275,Composições!A:A,0),10),2,0)</f>
        <v>10.636009999999999</v>
      </c>
      <c r="F275" s="159">
        <f t="shared" ca="1" si="12"/>
        <v>0</v>
      </c>
      <c r="G275" s="160" t="e">
        <f>IF(A275&lt;&gt;"",IF(AND(#REF!="Padrão",$H$4=#REF!),BDI!$B$17,IF(AND(#REF!="Padrão",$H$4=#REF!),BDI!$C$17,IF(AND(#REF!="Diferenciado",$H$4=#REF!),BDI!$G$17,IF(AND(#REF!="Diferenciado",$H$4=#REF!),BDI!$H$17,IF(#REF!="ZERO",0))))),"")</f>
        <v>#REF!</v>
      </c>
      <c r="H275" s="161" t="e">
        <f t="shared" ca="1" si="13"/>
        <v>#REF!</v>
      </c>
      <c r="I275" s="198" t="e">
        <f t="shared" ca="1" si="14"/>
        <v>#REF!</v>
      </c>
    </row>
    <row r="276" spans="1:9" x14ac:dyDescent="0.25">
      <c r="A276" s="204" t="s">
        <v>1094</v>
      </c>
      <c r="B276" s="205" t="s">
        <v>3011</v>
      </c>
      <c r="C276" s="206" t="s">
        <v>32</v>
      </c>
      <c r="D276" s="206">
        <v>1</v>
      </c>
      <c r="E276" s="158">
        <f ca="1">OFFSET(INDEX(Composições!A:J,MATCH(Orçamentária!A276,Composições!A:A,0),10),2,0)</f>
        <v>30.407125000000001</v>
      </c>
      <c r="F276" s="159">
        <f t="shared" ca="1" si="12"/>
        <v>30.407125000000001</v>
      </c>
      <c r="G276" s="160">
        <f>BDI!$C$17</f>
        <v>0.24479999999999999</v>
      </c>
      <c r="H276" s="161">
        <f t="shared" ca="1" si="13"/>
        <v>37.85</v>
      </c>
      <c r="I276" s="202">
        <f t="shared" ca="1" si="14"/>
        <v>37.85</v>
      </c>
    </row>
    <row r="277" spans="1:9" x14ac:dyDescent="0.25">
      <c r="A277" s="204" t="s">
        <v>1100</v>
      </c>
      <c r="B277" s="205" t="s">
        <v>3012</v>
      </c>
      <c r="C277" s="206" t="s">
        <v>32</v>
      </c>
      <c r="D277" s="206">
        <v>8</v>
      </c>
      <c r="E277" s="158">
        <f ca="1">OFFSET(INDEX(Composições!A:J,MATCH(Orçamentária!A277,Composições!A:A,0),10),2,0)</f>
        <v>191.45515444999998</v>
      </c>
      <c r="F277" s="159">
        <f t="shared" ca="1" si="12"/>
        <v>1531.6412355999998</v>
      </c>
      <c r="G277" s="160">
        <f>BDI!$C$17</f>
        <v>0.24479999999999999</v>
      </c>
      <c r="H277" s="161">
        <f t="shared" ca="1" si="13"/>
        <v>238.32</v>
      </c>
      <c r="I277" s="199">
        <f t="shared" ca="1" si="14"/>
        <v>1906.56</v>
      </c>
    </row>
    <row r="278" spans="1:9" x14ac:dyDescent="0.25">
      <c r="A278" s="204" t="s">
        <v>1104</v>
      </c>
      <c r="B278" s="205" t="s">
        <v>3013</v>
      </c>
      <c r="C278" s="206" t="s">
        <v>32</v>
      </c>
      <c r="D278" s="206">
        <v>17</v>
      </c>
      <c r="E278" s="158">
        <f ca="1">OFFSET(INDEX(Composições!A:J,MATCH(Orçamentária!A278,Composições!A:A,0),10),2,0)</f>
        <v>24.642326000000001</v>
      </c>
      <c r="F278" s="159">
        <f t="shared" ca="1" si="12"/>
        <v>418.91954200000004</v>
      </c>
      <c r="G278" s="160">
        <f>BDI!$C$17</f>
        <v>0.24479999999999999</v>
      </c>
      <c r="H278" s="161">
        <f t="shared" ca="1" si="13"/>
        <v>30.67</v>
      </c>
      <c r="I278" s="199">
        <f t="shared" ca="1" si="14"/>
        <v>521.39</v>
      </c>
    </row>
    <row r="279" spans="1:9" hidden="1" x14ac:dyDescent="0.25">
      <c r="A279" s="102" t="s">
        <v>1110</v>
      </c>
      <c r="B279" s="103" t="s">
        <v>3014</v>
      </c>
      <c r="C279" s="104" t="s">
        <v>32</v>
      </c>
      <c r="D279" s="104">
        <v>0</v>
      </c>
      <c r="E279" s="158">
        <f ca="1">OFFSET(INDEX(Composições!A:J,MATCH(Orçamentária!A279,Composições!A:A,0),10),2,0)</f>
        <v>24.642326000000001</v>
      </c>
      <c r="F279" s="159">
        <f t="shared" ca="1" si="12"/>
        <v>0</v>
      </c>
      <c r="G279" s="160" t="e">
        <f>IF(A279&lt;&gt;"",IF(AND(#REF!="Padrão",$H$4=#REF!),BDI!$B$17,IF(AND(#REF!="Padrão",$H$4=#REF!),BDI!$C$17,IF(AND(#REF!="Diferenciado",$H$4=#REF!),BDI!$G$17,IF(AND(#REF!="Diferenciado",$H$4=#REF!),BDI!$H$17,IF(#REF!="ZERO",0))))),"")</f>
        <v>#REF!</v>
      </c>
      <c r="H279" s="161" t="e">
        <f t="shared" ca="1" si="13"/>
        <v>#REF!</v>
      </c>
      <c r="I279" s="159" t="e">
        <f t="shared" ca="1" si="14"/>
        <v>#REF!</v>
      </c>
    </row>
    <row r="280" spans="1:9" hidden="1" x14ac:dyDescent="0.25">
      <c r="A280" s="102" t="s">
        <v>1114</v>
      </c>
      <c r="B280" s="103" t="s">
        <v>3015</v>
      </c>
      <c r="C280" s="104" t="s">
        <v>32</v>
      </c>
      <c r="D280" s="104">
        <v>0</v>
      </c>
      <c r="E280" s="158">
        <f ca="1">OFFSET(INDEX(Composições!A:J,MATCH(Orçamentária!A280,Composições!A:A,0),10),2,0)</f>
        <v>28.7891482</v>
      </c>
      <c r="F280" s="159">
        <f t="shared" ca="1" si="12"/>
        <v>0</v>
      </c>
      <c r="G280" s="160" t="e">
        <f>IF(A280&lt;&gt;"",IF(AND(#REF!="Padrão",$H$4=#REF!),BDI!$B$17,IF(AND(#REF!="Padrão",$H$4=#REF!),BDI!$C$17,IF(AND(#REF!="Diferenciado",$H$4=#REF!),BDI!$G$17,IF(AND(#REF!="Diferenciado",$H$4=#REF!),BDI!$H$17,IF(#REF!="ZERO",0))))),"")</f>
        <v>#REF!</v>
      </c>
      <c r="H280" s="161" t="e">
        <f t="shared" ca="1" si="13"/>
        <v>#REF!</v>
      </c>
      <c r="I280" s="159" t="e">
        <f t="shared" ca="1" si="14"/>
        <v>#REF!</v>
      </c>
    </row>
    <row r="281" spans="1:9" hidden="1" x14ac:dyDescent="0.25">
      <c r="A281" s="102" t="s">
        <v>1118</v>
      </c>
      <c r="B281" s="103" t="s">
        <v>3016</v>
      </c>
      <c r="C281" s="104" t="s">
        <v>32</v>
      </c>
      <c r="D281" s="104">
        <v>0</v>
      </c>
      <c r="E281" s="158">
        <f ca="1">OFFSET(INDEX(Composições!A:J,MATCH(Orçamentária!A281,Composições!A:A,0),10),2,0)</f>
        <v>24.642326000000001</v>
      </c>
      <c r="F281" s="159">
        <f t="shared" ca="1" si="12"/>
        <v>0</v>
      </c>
      <c r="G281" s="160" t="e">
        <f>IF(A281&lt;&gt;"",IF(AND(#REF!="Padrão",$H$4=#REF!),BDI!$B$17,IF(AND(#REF!="Padrão",$H$4=#REF!),BDI!$C$17,IF(AND(#REF!="Diferenciado",$H$4=#REF!),BDI!$G$17,IF(AND(#REF!="Diferenciado",$H$4=#REF!),BDI!$H$17,IF(#REF!="ZERO",0))))),"")</f>
        <v>#REF!</v>
      </c>
      <c r="H281" s="161" t="e">
        <f t="shared" ca="1" si="13"/>
        <v>#REF!</v>
      </c>
      <c r="I281" s="159" t="e">
        <f t="shared" ca="1" si="14"/>
        <v>#REF!</v>
      </c>
    </row>
    <row r="282" spans="1:9" hidden="1" x14ac:dyDescent="0.25">
      <c r="A282" s="102" t="s">
        <v>1122</v>
      </c>
      <c r="B282" s="103" t="s">
        <v>3017</v>
      </c>
      <c r="C282" s="104" t="s">
        <v>32</v>
      </c>
      <c r="D282" s="104">
        <v>0</v>
      </c>
      <c r="E282" s="158">
        <f ca="1">OFFSET(INDEX(Composições!A:J,MATCH(Orçamentária!A282,Composições!A:A,0),10),2,0)</f>
        <v>28.7891482</v>
      </c>
      <c r="F282" s="159">
        <f t="shared" ca="1" si="12"/>
        <v>0</v>
      </c>
      <c r="G282" s="160" t="e">
        <f>IF(A282&lt;&gt;"",IF(AND(#REF!="Padrão",$H$4=#REF!),BDI!$B$17,IF(AND(#REF!="Padrão",$H$4=#REF!),BDI!$C$17,IF(AND(#REF!="Diferenciado",$H$4=#REF!),BDI!$G$17,IF(AND(#REF!="Diferenciado",$H$4=#REF!),BDI!$H$17,IF(#REF!="ZERO",0))))),"")</f>
        <v>#REF!</v>
      </c>
      <c r="H282" s="161" t="e">
        <f t="shared" ca="1" si="13"/>
        <v>#REF!</v>
      </c>
      <c r="I282" s="198" t="e">
        <f t="shared" ca="1" si="14"/>
        <v>#REF!</v>
      </c>
    </row>
    <row r="283" spans="1:9" x14ac:dyDescent="0.25">
      <c r="A283" s="204" t="s">
        <v>1124</v>
      </c>
      <c r="B283" s="205" t="s">
        <v>3018</v>
      </c>
      <c r="C283" s="206" t="s">
        <v>184</v>
      </c>
      <c r="D283" s="206">
        <v>45</v>
      </c>
      <c r="E283" s="158">
        <f ca="1">OFFSET(INDEX(Composições!A:J,MATCH(Orçamentária!A283,Composições!A:A,0),10),2,0)</f>
        <v>9.8013209999999962</v>
      </c>
      <c r="F283" s="159">
        <f t="shared" ca="1" si="12"/>
        <v>441.05944499999981</v>
      </c>
      <c r="G283" s="160">
        <f>BDI!$C$17</f>
        <v>0.24479999999999999</v>
      </c>
      <c r="H283" s="161">
        <f t="shared" ca="1" si="13"/>
        <v>12.2</v>
      </c>
      <c r="I283" s="202">
        <f t="shared" ca="1" si="14"/>
        <v>549</v>
      </c>
    </row>
    <row r="284" spans="1:9" hidden="1" x14ac:dyDescent="0.25">
      <c r="A284" s="102" t="s">
        <v>1131</v>
      </c>
      <c r="B284" s="103" t="s">
        <v>3019</v>
      </c>
      <c r="C284" s="104" t="s">
        <v>184</v>
      </c>
      <c r="D284" s="104">
        <v>0</v>
      </c>
      <c r="E284" s="158">
        <f ca="1">OFFSET(INDEX(Composições!A:J,MATCH(Orçamentária!A284,Composições!A:A,0),10),2,0)</f>
        <v>0.48540249999999996</v>
      </c>
      <c r="F284" s="159">
        <f t="shared" ca="1" si="12"/>
        <v>0</v>
      </c>
      <c r="G284" s="160" t="e">
        <f>IF(A284&lt;&gt;"",IF(AND(#REF!="Padrão",$H$4=#REF!),BDI!$B$17,IF(AND(#REF!="Padrão",$H$4=#REF!),BDI!$C$17,IF(AND(#REF!="Diferenciado",$H$4=#REF!),BDI!$G$17,IF(AND(#REF!="Diferenciado",$H$4=#REF!),BDI!$H$17,IF(#REF!="ZERO",0))))),"")</f>
        <v>#REF!</v>
      </c>
      <c r="H284" s="161" t="e">
        <f t="shared" ca="1" si="13"/>
        <v>#REF!</v>
      </c>
      <c r="I284" s="198" t="e">
        <f t="shared" ca="1" si="14"/>
        <v>#REF!</v>
      </c>
    </row>
    <row r="285" spans="1:9" x14ac:dyDescent="0.25">
      <c r="A285" s="204" t="s">
        <v>1136</v>
      </c>
      <c r="B285" s="205" t="s">
        <v>3020</v>
      </c>
      <c r="C285" s="206" t="s">
        <v>184</v>
      </c>
      <c r="D285" s="206">
        <v>440</v>
      </c>
      <c r="E285" s="158">
        <f ca="1">OFFSET(INDEX(Composições!A:J,MATCH(Orçamentária!A285,Composições!A:A,0),10),2,0)</f>
        <v>2.473007</v>
      </c>
      <c r="F285" s="159">
        <f t="shared" ca="1" si="12"/>
        <v>1088.1230800000001</v>
      </c>
      <c r="G285" s="160">
        <f>BDI!$C$17</f>
        <v>0.24479999999999999</v>
      </c>
      <c r="H285" s="161">
        <f t="shared" ca="1" si="13"/>
        <v>3.08</v>
      </c>
      <c r="I285" s="202">
        <f t="shared" ca="1" si="14"/>
        <v>1355.2</v>
      </c>
    </row>
    <row r="286" spans="1:9" x14ac:dyDescent="0.25">
      <c r="A286" s="204" t="s">
        <v>1140</v>
      </c>
      <c r="B286" s="205" t="s">
        <v>3021</v>
      </c>
      <c r="C286" s="206" t="s">
        <v>184</v>
      </c>
      <c r="D286" s="206">
        <v>249</v>
      </c>
      <c r="E286" s="158">
        <f ca="1">OFFSET(INDEX(Composições!A:J,MATCH(Orçamentária!A286,Composições!A:A,0),10),2,0)</f>
        <v>7.0764219999999991</v>
      </c>
      <c r="F286" s="159">
        <f t="shared" ca="1" si="12"/>
        <v>1762.0290779999998</v>
      </c>
      <c r="G286" s="160">
        <f>BDI!$C$17</f>
        <v>0.24479999999999999</v>
      </c>
      <c r="H286" s="161">
        <f t="shared" ca="1" si="13"/>
        <v>8.81</v>
      </c>
      <c r="I286" s="199">
        <f t="shared" ca="1" si="14"/>
        <v>2193.69</v>
      </c>
    </row>
    <row r="287" spans="1:9" x14ac:dyDescent="0.25">
      <c r="A287" s="204" t="s">
        <v>1144</v>
      </c>
      <c r="B287" s="205" t="s">
        <v>3022</v>
      </c>
      <c r="C287" s="206" t="s">
        <v>184</v>
      </c>
      <c r="D287" s="206">
        <v>126</v>
      </c>
      <c r="E287" s="158">
        <f ca="1">OFFSET(INDEX(Composições!A:J,MATCH(Orçamentária!A287,Composições!A:A,0),10),2,0)</f>
        <v>3.5085319999999998</v>
      </c>
      <c r="F287" s="159">
        <f t="shared" ca="1" si="12"/>
        <v>442.07503199999996</v>
      </c>
      <c r="G287" s="160">
        <f>BDI!$C$17</f>
        <v>0.24479999999999999</v>
      </c>
      <c r="H287" s="161">
        <f t="shared" ca="1" si="13"/>
        <v>4.37</v>
      </c>
      <c r="I287" s="199">
        <f t="shared" ca="1" si="14"/>
        <v>550.62</v>
      </c>
    </row>
    <row r="288" spans="1:9" hidden="1" x14ac:dyDescent="0.25">
      <c r="A288" s="102" t="s">
        <v>1148</v>
      </c>
      <c r="B288" s="103" t="s">
        <v>3023</v>
      </c>
      <c r="C288" s="104" t="s">
        <v>184</v>
      </c>
      <c r="D288" s="104">
        <v>0</v>
      </c>
      <c r="E288" s="158">
        <f ca="1">OFFSET(INDEX(Composições!A:J,MATCH(Orçamentária!A288,Composições!A:A,0),10),2,0)</f>
        <v>3.0893624999999996</v>
      </c>
      <c r="F288" s="159">
        <f t="shared" ca="1" si="12"/>
        <v>0</v>
      </c>
      <c r="G288" s="160" t="e">
        <f>IF(A288&lt;&gt;"",IF(AND(#REF!="Padrão",$H$4=#REF!),BDI!$B$17,IF(AND(#REF!="Padrão",$H$4=#REF!),BDI!$C$17,IF(AND(#REF!="Diferenciado",$H$4=#REF!),BDI!$G$17,IF(AND(#REF!="Diferenciado",$H$4=#REF!),BDI!$H$17,IF(#REF!="ZERO",0))))),"")</f>
        <v>#REF!</v>
      </c>
      <c r="H288" s="161" t="e">
        <f t="shared" ca="1" si="13"/>
        <v>#REF!</v>
      </c>
      <c r="I288" s="198" t="e">
        <f t="shared" ca="1" si="14"/>
        <v>#REF!</v>
      </c>
    </row>
    <row r="289" spans="1:9" x14ac:dyDescent="0.25">
      <c r="A289" s="204" t="s">
        <v>1150</v>
      </c>
      <c r="B289" s="205" t="s">
        <v>3024</v>
      </c>
      <c r="C289" s="206" t="s">
        <v>184</v>
      </c>
      <c r="D289" s="206">
        <v>49.3</v>
      </c>
      <c r="E289" s="158">
        <f ca="1">OFFSET(INDEX(Composições!A:J,MATCH(Orçamentária!A289,Composições!A:A,0),10),2,0)</f>
        <v>5.2200219999999993</v>
      </c>
      <c r="F289" s="159">
        <f t="shared" ca="1" si="12"/>
        <v>257.34708459999996</v>
      </c>
      <c r="G289" s="160">
        <f>BDI!$C$17</f>
        <v>0.24479999999999999</v>
      </c>
      <c r="H289" s="161">
        <f t="shared" ca="1" si="13"/>
        <v>6.5</v>
      </c>
      <c r="I289" s="202">
        <f t="shared" ca="1" si="14"/>
        <v>320.45</v>
      </c>
    </row>
    <row r="290" spans="1:9" x14ac:dyDescent="0.25">
      <c r="A290" s="204" t="s">
        <v>1152</v>
      </c>
      <c r="B290" s="205" t="s">
        <v>3025</v>
      </c>
      <c r="C290" s="206" t="s">
        <v>32</v>
      </c>
      <c r="D290" s="206">
        <v>2</v>
      </c>
      <c r="E290" s="158">
        <f ca="1">OFFSET(INDEX(Composições!A:J,MATCH(Orçamentária!A290,Composições!A:A,0),10),2,0)</f>
        <v>10719.213750000001</v>
      </c>
      <c r="F290" s="159">
        <f t="shared" ca="1" si="12"/>
        <v>21438.427500000002</v>
      </c>
      <c r="G290" s="160">
        <f>BDI!$H$17</f>
        <v>0.16719999999999999</v>
      </c>
      <c r="H290" s="161">
        <f t="shared" ca="1" si="13"/>
        <v>12511.47</v>
      </c>
      <c r="I290" s="199">
        <f t="shared" ca="1" si="14"/>
        <v>25022.94</v>
      </c>
    </row>
    <row r="291" spans="1:9" hidden="1" x14ac:dyDescent="0.25">
      <c r="A291" s="102" t="s">
        <v>3026</v>
      </c>
      <c r="B291" s="103" t="s">
        <v>3027</v>
      </c>
      <c r="C291" s="104" t="s">
        <v>32</v>
      </c>
      <c r="D291" s="104">
        <v>0</v>
      </c>
      <c r="E291" s="158">
        <v>7860.52</v>
      </c>
      <c r="F291" s="159">
        <f t="shared" si="12"/>
        <v>0</v>
      </c>
      <c r="G291" s="160" t="e">
        <f>IF(A291&lt;&gt;"",IF(AND(#REF!="Padrão",$H$4=#REF!),BDI!$B$17,IF(AND(#REF!="Padrão",$H$4=#REF!),BDI!$C$17,IF(AND(#REF!="Diferenciado",$H$4=#REF!),BDI!$G$17,IF(AND(#REF!="Diferenciado",$H$4=#REF!),BDI!$H$17,IF(#REF!="ZERO",0))))),"")</f>
        <v>#REF!</v>
      </c>
      <c r="H291" s="161" t="e">
        <f t="shared" si="13"/>
        <v>#REF!</v>
      </c>
      <c r="I291" s="159" t="e">
        <f t="shared" si="14"/>
        <v>#REF!</v>
      </c>
    </row>
    <row r="292" spans="1:9" hidden="1" x14ac:dyDescent="0.25">
      <c r="A292" s="102" t="s">
        <v>3028</v>
      </c>
      <c r="B292" s="103" t="s">
        <v>3029</v>
      </c>
      <c r="C292" s="104" t="s">
        <v>32</v>
      </c>
      <c r="D292" s="104">
        <v>0</v>
      </c>
      <c r="E292" s="158">
        <v>1798.73</v>
      </c>
      <c r="F292" s="159">
        <f t="shared" si="12"/>
        <v>0</v>
      </c>
      <c r="G292" s="160" t="e">
        <f>IF(A292&lt;&gt;"",IF(AND(#REF!="Padrão",$H$4=#REF!),BDI!$B$17,IF(AND(#REF!="Padrão",$H$4=#REF!),BDI!$C$17,IF(AND(#REF!="Diferenciado",$H$4=#REF!),BDI!$G$17,IF(AND(#REF!="Diferenciado",$H$4=#REF!),BDI!$H$17,IF(#REF!="ZERO",0))))),"")</f>
        <v>#REF!</v>
      </c>
      <c r="H292" s="161" t="e">
        <f t="shared" si="13"/>
        <v>#REF!</v>
      </c>
      <c r="I292" s="159" t="e">
        <f t="shared" si="14"/>
        <v>#REF!</v>
      </c>
    </row>
    <row r="293" spans="1:9" hidden="1" x14ac:dyDescent="0.25">
      <c r="A293" s="102" t="s">
        <v>3030</v>
      </c>
      <c r="B293" s="103" t="s">
        <v>3031</v>
      </c>
      <c r="C293" s="104" t="s">
        <v>32</v>
      </c>
      <c r="D293" s="104">
        <v>0</v>
      </c>
      <c r="E293" s="158">
        <v>2482.8000000000002</v>
      </c>
      <c r="F293" s="159">
        <f t="shared" si="12"/>
        <v>0</v>
      </c>
      <c r="G293" s="160" t="e">
        <f>IF(A293&lt;&gt;"",IF(AND(#REF!="Padrão",$H$4=#REF!),BDI!$B$17,IF(AND(#REF!="Padrão",$H$4=#REF!),BDI!$C$17,IF(AND(#REF!="Diferenciado",$H$4=#REF!),BDI!$G$17,IF(AND(#REF!="Diferenciado",$H$4=#REF!),BDI!$H$17,IF(#REF!="ZERO",0))))),"")</f>
        <v>#REF!</v>
      </c>
      <c r="H293" s="161" t="e">
        <f t="shared" si="13"/>
        <v>#REF!</v>
      </c>
      <c r="I293" s="159" t="e">
        <f t="shared" si="14"/>
        <v>#REF!</v>
      </c>
    </row>
    <row r="294" spans="1:9" hidden="1" x14ac:dyDescent="0.25">
      <c r="A294" s="102" t="s">
        <v>3032</v>
      </c>
      <c r="B294" s="103" t="s">
        <v>3033</v>
      </c>
      <c r="C294" s="104" t="s">
        <v>32</v>
      </c>
      <c r="D294" s="104">
        <v>0</v>
      </c>
      <c r="E294" s="158">
        <v>2181.5</v>
      </c>
      <c r="F294" s="159">
        <f t="shared" si="12"/>
        <v>0</v>
      </c>
      <c r="G294" s="160" t="e">
        <f>IF(A294&lt;&gt;"",IF(AND(#REF!="Padrão",$H$4=#REF!),BDI!$B$17,IF(AND(#REF!="Padrão",$H$4=#REF!),BDI!$C$17,IF(AND(#REF!="Diferenciado",$H$4=#REF!),BDI!$G$17,IF(AND(#REF!="Diferenciado",$H$4=#REF!),BDI!$H$17,IF(#REF!="ZERO",0))))),"")</f>
        <v>#REF!</v>
      </c>
      <c r="H294" s="161" t="e">
        <f t="shared" si="13"/>
        <v>#REF!</v>
      </c>
      <c r="I294" s="159" t="e">
        <f t="shared" si="14"/>
        <v>#REF!</v>
      </c>
    </row>
    <row r="295" spans="1:9" hidden="1" x14ac:dyDescent="0.25">
      <c r="A295" s="102" t="s">
        <v>3034</v>
      </c>
      <c r="B295" s="103" t="s">
        <v>3035</v>
      </c>
      <c r="C295" s="104" t="s">
        <v>32</v>
      </c>
      <c r="D295" s="104">
        <v>0</v>
      </c>
      <c r="E295" s="158">
        <v>7868.54</v>
      </c>
      <c r="F295" s="159">
        <f t="shared" si="12"/>
        <v>0</v>
      </c>
      <c r="G295" s="160" t="e">
        <f>IF(A295&lt;&gt;"",IF(AND(#REF!="Padrão",$H$4=#REF!),BDI!$B$17,IF(AND(#REF!="Padrão",$H$4=#REF!),BDI!$C$17,IF(AND(#REF!="Diferenciado",$H$4=#REF!),BDI!$G$17,IF(AND(#REF!="Diferenciado",$H$4=#REF!),BDI!$H$17,IF(#REF!="ZERO",0))))),"")</f>
        <v>#REF!</v>
      </c>
      <c r="H295" s="161" t="e">
        <f t="shared" si="13"/>
        <v>#REF!</v>
      </c>
      <c r="I295" s="159" t="e">
        <f t="shared" si="14"/>
        <v>#REF!</v>
      </c>
    </row>
    <row r="296" spans="1:9" hidden="1" x14ac:dyDescent="0.25">
      <c r="A296" s="102" t="s">
        <v>3036</v>
      </c>
      <c r="B296" s="103" t="s">
        <v>3037</v>
      </c>
      <c r="C296" s="104" t="s">
        <v>32</v>
      </c>
      <c r="D296" s="104">
        <v>0</v>
      </c>
      <c r="E296" s="158">
        <v>1308.78</v>
      </c>
      <c r="F296" s="159">
        <f t="shared" si="12"/>
        <v>0</v>
      </c>
      <c r="G296" s="160" t="e">
        <f>IF(A296&lt;&gt;"",IF(AND(#REF!="Padrão",$H$4=#REF!),BDI!$B$17,IF(AND(#REF!="Padrão",$H$4=#REF!),BDI!$C$17,IF(AND(#REF!="Diferenciado",$H$4=#REF!),BDI!$G$17,IF(AND(#REF!="Diferenciado",$H$4=#REF!),BDI!$H$17,IF(#REF!="ZERO",0))))),"")</f>
        <v>#REF!</v>
      </c>
      <c r="H296" s="161" t="e">
        <f t="shared" si="13"/>
        <v>#REF!</v>
      </c>
      <c r="I296" s="159" t="e">
        <f t="shared" si="14"/>
        <v>#REF!</v>
      </c>
    </row>
    <row r="297" spans="1:9" hidden="1" x14ac:dyDescent="0.25">
      <c r="A297" s="102" t="s">
        <v>3038</v>
      </c>
      <c r="B297" s="103" t="s">
        <v>3039</v>
      </c>
      <c r="C297" s="104" t="s">
        <v>32</v>
      </c>
      <c r="D297" s="104">
        <v>0</v>
      </c>
      <c r="E297" s="158">
        <v>2418.5100000000002</v>
      </c>
      <c r="F297" s="159">
        <f t="shared" si="12"/>
        <v>0</v>
      </c>
      <c r="G297" s="160" t="e">
        <f>IF(A297&lt;&gt;"",IF(AND(#REF!="Padrão",$H$4=#REF!),BDI!$B$17,IF(AND(#REF!="Padrão",$H$4=#REF!),BDI!$C$17,IF(AND(#REF!="Diferenciado",$H$4=#REF!),BDI!$G$17,IF(AND(#REF!="Diferenciado",$H$4=#REF!),BDI!$H$17,IF(#REF!="ZERO",0))))),"")</f>
        <v>#REF!</v>
      </c>
      <c r="H297" s="161" t="e">
        <f t="shared" si="13"/>
        <v>#REF!</v>
      </c>
      <c r="I297" s="159" t="e">
        <f t="shared" si="14"/>
        <v>#REF!</v>
      </c>
    </row>
    <row r="298" spans="1:9" hidden="1" x14ac:dyDescent="0.25">
      <c r="A298" s="102" t="s">
        <v>1156</v>
      </c>
      <c r="B298" s="103" t="s">
        <v>3040</v>
      </c>
      <c r="C298" s="104" t="s">
        <v>32</v>
      </c>
      <c r="D298" s="104">
        <v>0</v>
      </c>
      <c r="E298" s="158">
        <f ca="1">OFFSET(INDEX(Composições!A:J,MATCH(Orçamentária!A298,Composições!A:A,0),10),2,0)</f>
        <v>70.509</v>
      </c>
      <c r="F298" s="159">
        <f t="shared" ca="1" si="12"/>
        <v>0</v>
      </c>
      <c r="G298" s="160" t="e">
        <f>IF(A298&lt;&gt;"",IF(AND(#REF!="Padrão",$H$4=#REF!),BDI!$B$17,IF(AND(#REF!="Padrão",$H$4=#REF!),BDI!$C$17,IF(AND(#REF!="Diferenciado",$H$4=#REF!),BDI!$G$17,IF(AND(#REF!="Diferenciado",$H$4=#REF!),BDI!$H$17,IF(#REF!="ZERO",0))))),"")</f>
        <v>#REF!</v>
      </c>
      <c r="H298" s="161" t="e">
        <f t="shared" ca="1" si="13"/>
        <v>#REF!</v>
      </c>
      <c r="I298" s="159" t="e">
        <f t="shared" ca="1" si="14"/>
        <v>#REF!</v>
      </c>
    </row>
    <row r="299" spans="1:9" hidden="1" x14ac:dyDescent="0.25">
      <c r="A299" s="102" t="s">
        <v>1158</v>
      </c>
      <c r="B299" s="103" t="s">
        <v>3041</v>
      </c>
      <c r="C299" s="104" t="s">
        <v>32</v>
      </c>
      <c r="D299" s="104">
        <v>0</v>
      </c>
      <c r="E299" s="158">
        <f ca="1">OFFSET(INDEX(Composições!A:J,MATCH(Orçamentária!A299,Composições!A:A,0),10),2,0)</f>
        <v>105.76349999999999</v>
      </c>
      <c r="F299" s="159">
        <f t="shared" ca="1" si="12"/>
        <v>0</v>
      </c>
      <c r="G299" s="160" t="e">
        <f>IF(A299&lt;&gt;"",IF(AND(#REF!="Padrão",$H$4=#REF!),BDI!$B$17,IF(AND(#REF!="Padrão",$H$4=#REF!),BDI!$C$17,IF(AND(#REF!="Diferenciado",$H$4=#REF!),BDI!$G$17,IF(AND(#REF!="Diferenciado",$H$4=#REF!),BDI!$H$17,IF(#REF!="ZERO",0))))),"")</f>
        <v>#REF!</v>
      </c>
      <c r="H299" s="161" t="e">
        <f t="shared" ca="1" si="13"/>
        <v>#REF!</v>
      </c>
      <c r="I299" s="159" t="e">
        <f t="shared" ca="1" si="14"/>
        <v>#REF!</v>
      </c>
    </row>
    <row r="300" spans="1:9" hidden="1" x14ac:dyDescent="0.25">
      <c r="A300" s="102" t="s">
        <v>1159</v>
      </c>
      <c r="B300" s="103" t="s">
        <v>3042</v>
      </c>
      <c r="C300" s="104" t="s">
        <v>32</v>
      </c>
      <c r="D300" s="104">
        <v>0</v>
      </c>
      <c r="E300" s="158">
        <f ca="1">OFFSET(INDEX(Composições!A:J,MATCH(Orçamentária!A300,Composições!A:A,0),10),2,0)</f>
        <v>34.532499999999999</v>
      </c>
      <c r="F300" s="159">
        <f t="shared" ca="1" si="12"/>
        <v>0</v>
      </c>
      <c r="G300" s="160" t="e">
        <f>IF(A300&lt;&gt;"",IF(AND(#REF!="Padrão",$H$4=#REF!),BDI!$B$17,IF(AND(#REF!="Padrão",$H$4=#REF!),BDI!$C$17,IF(AND(#REF!="Diferenciado",$H$4=#REF!),BDI!$G$17,IF(AND(#REF!="Diferenciado",$H$4=#REF!),BDI!$H$17,IF(#REF!="ZERO",0))))),"")</f>
        <v>#REF!</v>
      </c>
      <c r="H300" s="161" t="e">
        <f t="shared" ca="1" si="13"/>
        <v>#REF!</v>
      </c>
      <c r="I300" s="159" t="e">
        <f t="shared" ca="1" si="14"/>
        <v>#REF!</v>
      </c>
    </row>
    <row r="301" spans="1:9" hidden="1" x14ac:dyDescent="0.25">
      <c r="A301" s="102" t="s">
        <v>1163</v>
      </c>
      <c r="B301" s="103" t="s">
        <v>3043</v>
      </c>
      <c r="C301" s="104" t="s">
        <v>32</v>
      </c>
      <c r="D301" s="104">
        <v>0</v>
      </c>
      <c r="E301" s="158">
        <f ca="1">OFFSET(INDEX(Composições!A:J,MATCH(Orçamentária!A301,Composições!A:A,0),10),2,0)</f>
        <v>34.532499999999999</v>
      </c>
      <c r="F301" s="159">
        <f t="shared" ca="1" si="12"/>
        <v>0</v>
      </c>
      <c r="G301" s="160" t="e">
        <f>IF(A301&lt;&gt;"",IF(AND(#REF!="Padrão",$H$4=#REF!),BDI!$B$17,IF(AND(#REF!="Padrão",$H$4=#REF!),BDI!$C$17,IF(AND(#REF!="Diferenciado",$H$4=#REF!),BDI!$G$17,IF(AND(#REF!="Diferenciado",$H$4=#REF!),BDI!$H$17,IF(#REF!="ZERO",0))))),"")</f>
        <v>#REF!</v>
      </c>
      <c r="H301" s="161" t="e">
        <f t="shared" ca="1" si="13"/>
        <v>#REF!</v>
      </c>
      <c r="I301" s="159" t="e">
        <f t="shared" ca="1" si="14"/>
        <v>#REF!</v>
      </c>
    </row>
    <row r="302" spans="1:9" hidden="1" x14ac:dyDescent="0.25">
      <c r="A302" s="102" t="s">
        <v>1165</v>
      </c>
      <c r="B302" s="103" t="s">
        <v>3044</v>
      </c>
      <c r="C302" s="104" t="s">
        <v>189</v>
      </c>
      <c r="D302" s="104">
        <v>0</v>
      </c>
      <c r="E302" s="158">
        <f ca="1">OFFSET(INDEX(Composições!A:J,MATCH(Orçamentária!A302,Composições!A:A,0),10),2,0)</f>
        <v>177.57247999999998</v>
      </c>
      <c r="F302" s="159">
        <f t="shared" ca="1" si="12"/>
        <v>0</v>
      </c>
      <c r="G302" s="160" t="e">
        <f>IF(A302&lt;&gt;"",IF(AND(#REF!="Padrão",$H$4=#REF!),BDI!$B$17,IF(AND(#REF!="Padrão",$H$4=#REF!),BDI!$C$17,IF(AND(#REF!="Diferenciado",$H$4=#REF!),BDI!$G$17,IF(AND(#REF!="Diferenciado",$H$4=#REF!),BDI!$H$17,IF(#REF!="ZERO",0))))),"")</f>
        <v>#REF!</v>
      </c>
      <c r="H302" s="161" t="e">
        <f t="shared" ca="1" si="13"/>
        <v>#REF!</v>
      </c>
      <c r="I302" s="159" t="e">
        <f t="shared" ca="1" si="14"/>
        <v>#REF!</v>
      </c>
    </row>
    <row r="303" spans="1:9" hidden="1" x14ac:dyDescent="0.25">
      <c r="A303" s="102" t="s">
        <v>1173</v>
      </c>
      <c r="B303" s="103" t="s">
        <v>3045</v>
      </c>
      <c r="C303" s="104" t="s">
        <v>184</v>
      </c>
      <c r="D303" s="104">
        <v>0</v>
      </c>
      <c r="E303" s="158">
        <f ca="1">OFFSET(INDEX(Composições!A:J,MATCH(Orçamentária!A303,Composições!A:A,0),10),2,0)</f>
        <v>13.7218</v>
      </c>
      <c r="F303" s="159">
        <f t="shared" ca="1" si="12"/>
        <v>0</v>
      </c>
      <c r="G303" s="160" t="e">
        <f>IF(A303&lt;&gt;"",IF(AND(#REF!="Padrão",$H$4=#REF!),BDI!$B$17,IF(AND(#REF!="Padrão",$H$4=#REF!),BDI!$C$17,IF(AND(#REF!="Diferenciado",$H$4=#REF!),BDI!$G$17,IF(AND(#REF!="Diferenciado",$H$4=#REF!),BDI!$H$17,IF(#REF!="ZERO",0))))),"")</f>
        <v>#REF!</v>
      </c>
      <c r="H303" s="161" t="e">
        <f t="shared" ca="1" si="13"/>
        <v>#REF!</v>
      </c>
      <c r="I303" s="159" t="e">
        <f t="shared" ca="1" si="14"/>
        <v>#REF!</v>
      </c>
    </row>
    <row r="304" spans="1:9" hidden="1" x14ac:dyDescent="0.25">
      <c r="A304" s="102" t="s">
        <v>1177</v>
      </c>
      <c r="B304" s="103" t="s">
        <v>3046</v>
      </c>
      <c r="C304" s="104" t="s">
        <v>184</v>
      </c>
      <c r="D304" s="104">
        <v>0</v>
      </c>
      <c r="E304" s="158">
        <f ca="1">OFFSET(INDEX(Composições!A:J,MATCH(Orçamentária!A304,Composições!A:A,0),10),2,0)</f>
        <v>13.7218</v>
      </c>
      <c r="F304" s="159">
        <f t="shared" ca="1" si="12"/>
        <v>0</v>
      </c>
      <c r="G304" s="160" t="e">
        <f>IF(A304&lt;&gt;"",IF(AND(#REF!="Padrão",$H$4=#REF!),BDI!$B$17,IF(AND(#REF!="Padrão",$H$4=#REF!),BDI!$C$17,IF(AND(#REF!="Diferenciado",$H$4=#REF!),BDI!$G$17,IF(AND(#REF!="Diferenciado",$H$4=#REF!),BDI!$H$17,IF(#REF!="ZERO",0))))),"")</f>
        <v>#REF!</v>
      </c>
      <c r="H304" s="161" t="e">
        <f t="shared" ca="1" si="13"/>
        <v>#REF!</v>
      </c>
      <c r="I304" s="159" t="e">
        <f t="shared" ca="1" si="14"/>
        <v>#REF!</v>
      </c>
    </row>
    <row r="305" spans="1:9" hidden="1" x14ac:dyDescent="0.25">
      <c r="A305" s="102" t="s">
        <v>1179</v>
      </c>
      <c r="B305" s="103" t="s">
        <v>3047</v>
      </c>
      <c r="C305" s="104" t="s">
        <v>32</v>
      </c>
      <c r="D305" s="104">
        <v>0</v>
      </c>
      <c r="E305" s="158">
        <f ca="1">OFFSET(INDEX(Composições!A:J,MATCH(Orçamentária!A305,Composições!A:A,0),10),2,0)</f>
        <v>88.13624999999999</v>
      </c>
      <c r="F305" s="159">
        <f t="shared" ca="1" si="12"/>
        <v>0</v>
      </c>
      <c r="G305" s="160" t="e">
        <f>IF(A305&lt;&gt;"",IF(AND(#REF!="Padrão",$H$4=#REF!),BDI!$B$17,IF(AND(#REF!="Padrão",$H$4=#REF!),BDI!$C$17,IF(AND(#REF!="Diferenciado",$H$4=#REF!),BDI!$G$17,IF(AND(#REF!="Diferenciado",$H$4=#REF!),BDI!$H$17,IF(#REF!="ZERO",0))))),"")</f>
        <v>#REF!</v>
      </c>
      <c r="H305" s="161" t="e">
        <f t="shared" ca="1" si="13"/>
        <v>#REF!</v>
      </c>
      <c r="I305" s="159" t="e">
        <f t="shared" ca="1" si="14"/>
        <v>#REF!</v>
      </c>
    </row>
    <row r="306" spans="1:9" hidden="1" x14ac:dyDescent="0.25">
      <c r="A306" s="102" t="s">
        <v>1183</v>
      </c>
      <c r="B306" s="103" t="s">
        <v>3048</v>
      </c>
      <c r="C306" s="104" t="s">
        <v>32</v>
      </c>
      <c r="D306" s="104">
        <v>0</v>
      </c>
      <c r="E306" s="158">
        <f ca="1">OFFSET(INDEX(Composições!A:J,MATCH(Orçamentária!A306,Composições!A:A,0),10),2,0)</f>
        <v>88.13624999999999</v>
      </c>
      <c r="F306" s="159">
        <f t="shared" ca="1" si="12"/>
        <v>0</v>
      </c>
      <c r="G306" s="160" t="e">
        <f>IF(A306&lt;&gt;"",IF(AND(#REF!="Padrão",$H$4=#REF!),BDI!$B$17,IF(AND(#REF!="Padrão",$H$4=#REF!),BDI!$C$17,IF(AND(#REF!="Diferenciado",$H$4=#REF!),BDI!$G$17,IF(AND(#REF!="Diferenciado",$H$4=#REF!),BDI!$H$17,IF(#REF!="ZERO",0))))),"")</f>
        <v>#REF!</v>
      </c>
      <c r="H306" s="161" t="e">
        <f t="shared" ca="1" si="13"/>
        <v>#REF!</v>
      </c>
      <c r="I306" s="159" t="e">
        <f t="shared" ca="1" si="14"/>
        <v>#REF!</v>
      </c>
    </row>
    <row r="307" spans="1:9" hidden="1" x14ac:dyDescent="0.25">
      <c r="A307" s="102" t="s">
        <v>1185</v>
      </c>
      <c r="B307" s="103" t="s">
        <v>3049</v>
      </c>
      <c r="C307" s="104" t="s">
        <v>32</v>
      </c>
      <c r="D307" s="104">
        <v>0</v>
      </c>
      <c r="E307" s="158">
        <f ca="1">OFFSET(INDEX(Composições!A:J,MATCH(Orçamentária!A307,Composições!A:A,0),10),2,0)</f>
        <v>88.13624999999999</v>
      </c>
      <c r="F307" s="159">
        <f t="shared" ca="1" si="12"/>
        <v>0</v>
      </c>
      <c r="G307" s="160" t="e">
        <f>IF(A307&lt;&gt;"",IF(AND(#REF!="Padrão",$H$4=#REF!),BDI!$B$17,IF(AND(#REF!="Padrão",$H$4=#REF!),BDI!$C$17,IF(AND(#REF!="Diferenciado",$H$4=#REF!),BDI!$G$17,IF(AND(#REF!="Diferenciado",$H$4=#REF!),BDI!$H$17,IF(#REF!="ZERO",0))))),"")</f>
        <v>#REF!</v>
      </c>
      <c r="H307" s="161" t="e">
        <f t="shared" ca="1" si="13"/>
        <v>#REF!</v>
      </c>
      <c r="I307" s="159" t="e">
        <f t="shared" ca="1" si="14"/>
        <v>#REF!</v>
      </c>
    </row>
    <row r="308" spans="1:9" hidden="1" x14ac:dyDescent="0.25">
      <c r="A308" s="102" t="s">
        <v>1187</v>
      </c>
      <c r="B308" s="103" t="s">
        <v>3050</v>
      </c>
      <c r="C308" s="104" t="s">
        <v>32</v>
      </c>
      <c r="D308" s="104">
        <v>0</v>
      </c>
      <c r="E308" s="158">
        <f ca="1">OFFSET(INDEX(Composições!A:J,MATCH(Orçamentária!A308,Composições!A:A,0),10),2,0)</f>
        <v>88.13624999999999</v>
      </c>
      <c r="F308" s="159">
        <f t="shared" ca="1" si="12"/>
        <v>0</v>
      </c>
      <c r="G308" s="160" t="e">
        <f>IF(A308&lt;&gt;"",IF(AND(#REF!="Padrão",$H$4=#REF!),BDI!$B$17,IF(AND(#REF!="Padrão",$H$4=#REF!),BDI!$C$17,IF(AND(#REF!="Diferenciado",$H$4=#REF!),BDI!$G$17,IF(AND(#REF!="Diferenciado",$H$4=#REF!),BDI!$H$17,IF(#REF!="ZERO",0))))),"")</f>
        <v>#REF!</v>
      </c>
      <c r="H308" s="161" t="e">
        <f t="shared" ca="1" si="13"/>
        <v>#REF!</v>
      </c>
      <c r="I308" s="159" t="e">
        <f t="shared" ca="1" si="14"/>
        <v>#REF!</v>
      </c>
    </row>
    <row r="309" spans="1:9" hidden="1" x14ac:dyDescent="0.25">
      <c r="A309" s="102" t="s">
        <v>1189</v>
      </c>
      <c r="B309" s="103" t="s">
        <v>3051</v>
      </c>
      <c r="C309" s="104" t="s">
        <v>32</v>
      </c>
      <c r="D309" s="104">
        <v>0</v>
      </c>
      <c r="E309" s="158">
        <f ca="1">OFFSET(INDEX(Composições!A:J,MATCH(Orçamentária!A309,Composições!A:A,0),10),2,0)</f>
        <v>88.13624999999999</v>
      </c>
      <c r="F309" s="159">
        <f t="shared" ca="1" si="12"/>
        <v>0</v>
      </c>
      <c r="G309" s="160" t="e">
        <f>IF(A309&lt;&gt;"",IF(AND(#REF!="Padrão",$H$4=#REF!),BDI!$B$17,IF(AND(#REF!="Padrão",$H$4=#REF!),BDI!$C$17,IF(AND(#REF!="Diferenciado",$H$4=#REF!),BDI!$G$17,IF(AND(#REF!="Diferenciado",$H$4=#REF!),BDI!$H$17,IF(#REF!="ZERO",0))))),"")</f>
        <v>#REF!</v>
      </c>
      <c r="H309" s="161" t="e">
        <f t="shared" ca="1" si="13"/>
        <v>#REF!</v>
      </c>
      <c r="I309" s="159" t="e">
        <f t="shared" ca="1" si="14"/>
        <v>#REF!</v>
      </c>
    </row>
    <row r="310" spans="1:9" hidden="1" x14ac:dyDescent="0.25">
      <c r="A310" s="102" t="s">
        <v>1191</v>
      </c>
      <c r="B310" s="103" t="s">
        <v>3052</v>
      </c>
      <c r="C310" s="104" t="s">
        <v>32</v>
      </c>
      <c r="D310" s="104">
        <v>0</v>
      </c>
      <c r="E310" s="158">
        <f ca="1">OFFSET(INDEX(Composições!A:J,MATCH(Orçamentária!A310,Composições!A:A,0),10),2,0)</f>
        <v>88.13624999999999</v>
      </c>
      <c r="F310" s="159">
        <f t="shared" ca="1" si="12"/>
        <v>0</v>
      </c>
      <c r="G310" s="160" t="e">
        <f>IF(A310&lt;&gt;"",IF(AND(#REF!="Padrão",$H$4=#REF!),BDI!$B$17,IF(AND(#REF!="Padrão",$H$4=#REF!),BDI!$C$17,IF(AND(#REF!="Diferenciado",$H$4=#REF!),BDI!$G$17,IF(AND(#REF!="Diferenciado",$H$4=#REF!),BDI!$H$17,IF(#REF!="ZERO",0))))),"")</f>
        <v>#REF!</v>
      </c>
      <c r="H310" s="161" t="e">
        <f t="shared" ca="1" si="13"/>
        <v>#REF!</v>
      </c>
      <c r="I310" s="159" t="e">
        <f t="shared" ca="1" si="14"/>
        <v>#REF!</v>
      </c>
    </row>
    <row r="311" spans="1:9" hidden="1" x14ac:dyDescent="0.25">
      <c r="A311" s="102" t="s">
        <v>1193</v>
      </c>
      <c r="B311" s="103" t="s">
        <v>3053</v>
      </c>
      <c r="C311" s="104" t="s">
        <v>32</v>
      </c>
      <c r="D311" s="104">
        <v>0</v>
      </c>
      <c r="E311" s="158">
        <f ca="1">OFFSET(INDEX(Composições!A:J,MATCH(Orçamentária!A311,Composições!A:A,0),10),2,0)</f>
        <v>88.13624999999999</v>
      </c>
      <c r="F311" s="159">
        <f t="shared" ca="1" si="12"/>
        <v>0</v>
      </c>
      <c r="G311" s="160" t="e">
        <f>IF(A311&lt;&gt;"",IF(AND(#REF!="Padrão",$H$4=#REF!),BDI!$B$17,IF(AND(#REF!="Padrão",$H$4=#REF!),BDI!$C$17,IF(AND(#REF!="Diferenciado",$H$4=#REF!),BDI!$G$17,IF(AND(#REF!="Diferenciado",$H$4=#REF!),BDI!$H$17,IF(#REF!="ZERO",0))))),"")</f>
        <v>#REF!</v>
      </c>
      <c r="H311" s="161" t="e">
        <f t="shared" ca="1" si="13"/>
        <v>#REF!</v>
      </c>
      <c r="I311" s="159" t="e">
        <f t="shared" ca="1" si="14"/>
        <v>#REF!</v>
      </c>
    </row>
    <row r="312" spans="1:9" hidden="1" x14ac:dyDescent="0.25">
      <c r="A312" s="102" t="s">
        <v>1195</v>
      </c>
      <c r="B312" s="103" t="s">
        <v>3054</v>
      </c>
      <c r="C312" s="104" t="s">
        <v>32</v>
      </c>
      <c r="D312" s="104">
        <v>0</v>
      </c>
      <c r="E312" s="158">
        <f ca="1">OFFSET(INDEX(Composições!A:J,MATCH(Orçamentária!A312,Composições!A:A,0),10),2,0)</f>
        <v>88.13624999999999</v>
      </c>
      <c r="F312" s="159">
        <f t="shared" ca="1" si="12"/>
        <v>0</v>
      </c>
      <c r="G312" s="160" t="e">
        <f>IF(A312&lt;&gt;"",IF(AND(#REF!="Padrão",$H$4=#REF!),BDI!$B$17,IF(AND(#REF!="Padrão",$H$4=#REF!),BDI!$C$17,IF(AND(#REF!="Diferenciado",$H$4=#REF!),BDI!$G$17,IF(AND(#REF!="Diferenciado",$H$4=#REF!),BDI!$H$17,IF(#REF!="ZERO",0))))),"")</f>
        <v>#REF!</v>
      </c>
      <c r="H312" s="161" t="e">
        <f t="shared" ca="1" si="13"/>
        <v>#REF!</v>
      </c>
      <c r="I312" s="159" t="e">
        <f t="shared" ca="1" si="14"/>
        <v>#REF!</v>
      </c>
    </row>
    <row r="313" spans="1:9" hidden="1" x14ac:dyDescent="0.25">
      <c r="A313" s="102" t="s">
        <v>1197</v>
      </c>
      <c r="B313" s="103" t="s">
        <v>3055</v>
      </c>
      <c r="C313" s="104" t="s">
        <v>32</v>
      </c>
      <c r="D313" s="104">
        <v>0</v>
      </c>
      <c r="E313" s="158">
        <f ca="1">OFFSET(INDEX(Composições!A:J,MATCH(Orçamentária!A313,Composições!A:A,0),10),2,0)</f>
        <v>123.39075</v>
      </c>
      <c r="F313" s="159">
        <f t="shared" ca="1" si="12"/>
        <v>0</v>
      </c>
      <c r="G313" s="160" t="e">
        <f>IF(A313&lt;&gt;"",IF(AND(#REF!="Padrão",$H$4=#REF!),BDI!$B$17,IF(AND(#REF!="Padrão",$H$4=#REF!),BDI!$C$17,IF(AND(#REF!="Diferenciado",$H$4=#REF!),BDI!$G$17,IF(AND(#REF!="Diferenciado",$H$4=#REF!),BDI!$H$17,IF(#REF!="ZERO",0))))),"")</f>
        <v>#REF!</v>
      </c>
      <c r="H313" s="161" t="e">
        <f t="shared" ca="1" si="13"/>
        <v>#REF!</v>
      </c>
      <c r="I313" s="159" t="e">
        <f t="shared" ca="1" si="14"/>
        <v>#REF!</v>
      </c>
    </row>
    <row r="314" spans="1:9" hidden="1" x14ac:dyDescent="0.25">
      <c r="A314" s="102" t="s">
        <v>1202</v>
      </c>
      <c r="B314" s="103" t="s">
        <v>3056</v>
      </c>
      <c r="C314" s="104" t="s">
        <v>32</v>
      </c>
      <c r="D314" s="104">
        <v>0</v>
      </c>
      <c r="E314" s="158">
        <f ca="1">OFFSET(INDEX(Composições!A:J,MATCH(Orçamentária!A314,Composições!A:A,0),10),2,0)</f>
        <v>123.39075</v>
      </c>
      <c r="F314" s="159">
        <f t="shared" ca="1" si="12"/>
        <v>0</v>
      </c>
      <c r="G314" s="160" t="e">
        <f>IF(A314&lt;&gt;"",IF(AND(#REF!="Padrão",$H$4=#REF!),BDI!$B$17,IF(AND(#REF!="Padrão",$H$4=#REF!),BDI!$C$17,IF(AND(#REF!="Diferenciado",$H$4=#REF!),BDI!$G$17,IF(AND(#REF!="Diferenciado",$H$4=#REF!),BDI!$H$17,IF(#REF!="ZERO",0))))),"")</f>
        <v>#REF!</v>
      </c>
      <c r="H314" s="161" t="e">
        <f t="shared" ca="1" si="13"/>
        <v>#REF!</v>
      </c>
      <c r="I314" s="159" t="e">
        <f t="shared" ca="1" si="14"/>
        <v>#REF!</v>
      </c>
    </row>
    <row r="315" spans="1:9" hidden="1" x14ac:dyDescent="0.25">
      <c r="A315" s="102" t="s">
        <v>1205</v>
      </c>
      <c r="B315" s="103" t="s">
        <v>3057</v>
      </c>
      <c r="C315" s="104" t="s">
        <v>32</v>
      </c>
      <c r="D315" s="104">
        <v>0</v>
      </c>
      <c r="E315" s="158">
        <f ca="1">OFFSET(INDEX(Composições!A:J,MATCH(Orçamentária!A315,Composições!A:A,0),10),2,0)</f>
        <v>88.13624999999999</v>
      </c>
      <c r="F315" s="159">
        <f t="shared" ca="1" si="12"/>
        <v>0</v>
      </c>
      <c r="G315" s="160" t="e">
        <f>IF(A315&lt;&gt;"",IF(AND(#REF!="Padrão",$H$4=#REF!),BDI!$B$17,IF(AND(#REF!="Padrão",$H$4=#REF!),BDI!$C$17,IF(AND(#REF!="Diferenciado",$H$4=#REF!),BDI!$G$17,IF(AND(#REF!="Diferenciado",$H$4=#REF!),BDI!$H$17,IF(#REF!="ZERO",0))))),"")</f>
        <v>#REF!</v>
      </c>
      <c r="H315" s="161" t="e">
        <f t="shared" ca="1" si="13"/>
        <v>#REF!</v>
      </c>
      <c r="I315" s="159" t="e">
        <f t="shared" ca="1" si="14"/>
        <v>#REF!</v>
      </c>
    </row>
    <row r="316" spans="1:9" hidden="1" x14ac:dyDescent="0.25">
      <c r="A316" s="102" t="s">
        <v>1206</v>
      </c>
      <c r="B316" s="103" t="s">
        <v>3058</v>
      </c>
      <c r="C316" s="104" t="s">
        <v>32</v>
      </c>
      <c r="D316" s="104">
        <v>0</v>
      </c>
      <c r="E316" s="158">
        <f ca="1">OFFSET(INDEX(Composições!A:J,MATCH(Orçamentária!A316,Composições!A:A,0),10),2,0)</f>
        <v>34.532499999999999</v>
      </c>
      <c r="F316" s="159">
        <f t="shared" ca="1" si="12"/>
        <v>0</v>
      </c>
      <c r="G316" s="160" t="e">
        <f>IF(A316&lt;&gt;"",IF(AND(#REF!="Padrão",$H$4=#REF!),BDI!$B$17,IF(AND(#REF!="Padrão",$H$4=#REF!),BDI!$C$17,IF(AND(#REF!="Diferenciado",$H$4=#REF!),BDI!$G$17,IF(AND(#REF!="Diferenciado",$H$4=#REF!),BDI!$H$17,IF(#REF!="ZERO",0))))),"")</f>
        <v>#REF!</v>
      </c>
      <c r="H316" s="161" t="e">
        <f t="shared" ca="1" si="13"/>
        <v>#REF!</v>
      </c>
      <c r="I316" s="159" t="e">
        <f t="shared" ca="1" si="14"/>
        <v>#REF!</v>
      </c>
    </row>
    <row r="317" spans="1:9" hidden="1" x14ac:dyDescent="0.25">
      <c r="A317" s="102" t="s">
        <v>1207</v>
      </c>
      <c r="B317" s="103" t="s">
        <v>3059</v>
      </c>
      <c r="C317" s="104" t="s">
        <v>32</v>
      </c>
      <c r="D317" s="104">
        <v>0</v>
      </c>
      <c r="E317" s="158">
        <f ca="1">OFFSET(INDEX(Composições!A:J,MATCH(Orçamentária!A317,Composições!A:A,0),10),2,0)</f>
        <v>26.626125000000002</v>
      </c>
      <c r="F317" s="159">
        <f t="shared" ca="1" si="12"/>
        <v>0</v>
      </c>
      <c r="G317" s="160" t="e">
        <f>IF(A317&lt;&gt;"",IF(AND(#REF!="Padrão",$H$4=#REF!),BDI!$B$17,IF(AND(#REF!="Padrão",$H$4=#REF!),BDI!$C$17,IF(AND(#REF!="Diferenciado",$H$4=#REF!),BDI!$G$17,IF(AND(#REF!="Diferenciado",$H$4=#REF!),BDI!$H$17,IF(#REF!="ZERO",0))))),"")</f>
        <v>#REF!</v>
      </c>
      <c r="H317" s="161" t="e">
        <f t="shared" ca="1" si="13"/>
        <v>#REF!</v>
      </c>
      <c r="I317" s="159" t="e">
        <f t="shared" ca="1" si="14"/>
        <v>#REF!</v>
      </c>
    </row>
    <row r="318" spans="1:9" hidden="1" x14ac:dyDescent="0.25">
      <c r="A318" s="102" t="s">
        <v>1210</v>
      </c>
      <c r="B318" s="103" t="s">
        <v>3060</v>
      </c>
      <c r="C318" s="104" t="s">
        <v>32</v>
      </c>
      <c r="D318" s="104">
        <v>0</v>
      </c>
      <c r="E318" s="158">
        <f ca="1">OFFSET(INDEX(Composições!A:J,MATCH(Orçamentária!A318,Composições!A:A,0),10),2,0)</f>
        <v>34.532499999999999</v>
      </c>
      <c r="F318" s="159">
        <f t="shared" ca="1" si="12"/>
        <v>0</v>
      </c>
      <c r="G318" s="160" t="e">
        <f>IF(A318&lt;&gt;"",IF(AND(#REF!="Padrão",$H$4=#REF!),BDI!$B$17,IF(AND(#REF!="Padrão",$H$4=#REF!),BDI!$C$17,IF(AND(#REF!="Diferenciado",$H$4=#REF!),BDI!$G$17,IF(AND(#REF!="Diferenciado",$H$4=#REF!),BDI!$H$17,IF(#REF!="ZERO",0))))),"")</f>
        <v>#REF!</v>
      </c>
      <c r="H318" s="161" t="e">
        <f t="shared" ca="1" si="13"/>
        <v>#REF!</v>
      </c>
      <c r="I318" s="159" t="e">
        <f t="shared" ca="1" si="14"/>
        <v>#REF!</v>
      </c>
    </row>
    <row r="319" spans="1:9" hidden="1" x14ac:dyDescent="0.25">
      <c r="A319" s="102" t="s">
        <v>1214</v>
      </c>
      <c r="B319" s="103" t="s">
        <v>3061</v>
      </c>
      <c r="C319" s="104" t="s">
        <v>184</v>
      </c>
      <c r="D319" s="104">
        <v>0</v>
      </c>
      <c r="E319" s="158">
        <f ca="1">OFFSET(INDEX(Composições!A:J,MATCH(Orçamentária!A319,Composições!A:A,0),10),2,0)</f>
        <v>0.15275999999999998</v>
      </c>
      <c r="F319" s="159">
        <f t="shared" ca="1" si="12"/>
        <v>0</v>
      </c>
      <c r="G319" s="160" t="e">
        <f>IF(A319&lt;&gt;"",IF(AND(#REF!="Padrão",$H$4=#REF!),BDI!$B$17,IF(AND(#REF!="Padrão",$H$4=#REF!),BDI!$C$17,IF(AND(#REF!="Diferenciado",$H$4=#REF!),BDI!$G$17,IF(AND(#REF!="Diferenciado",$H$4=#REF!),BDI!$H$17,IF(#REF!="ZERO",0))))),"")</f>
        <v>#REF!</v>
      </c>
      <c r="H319" s="161" t="e">
        <f t="shared" ca="1" si="13"/>
        <v>#REF!</v>
      </c>
      <c r="I319" s="159" t="e">
        <f t="shared" ca="1" si="14"/>
        <v>#REF!</v>
      </c>
    </row>
    <row r="320" spans="1:9" hidden="1" x14ac:dyDescent="0.25">
      <c r="A320" s="102" t="s">
        <v>1216</v>
      </c>
      <c r="B320" s="103" t="s">
        <v>3062</v>
      </c>
      <c r="C320" s="104" t="s">
        <v>184</v>
      </c>
      <c r="D320" s="104">
        <v>0</v>
      </c>
      <c r="E320" s="158">
        <f ca="1">OFFSET(INDEX(Composições!A:J,MATCH(Orçamentária!A320,Composições!A:A,0),10),2,0)</f>
        <v>0.15275999999999998</v>
      </c>
      <c r="F320" s="159">
        <f t="shared" ca="1" si="12"/>
        <v>0</v>
      </c>
      <c r="G320" s="160" t="e">
        <f>IF(A320&lt;&gt;"",IF(AND(#REF!="Padrão",$H$4=#REF!),BDI!$B$17,IF(AND(#REF!="Padrão",$H$4=#REF!),BDI!$C$17,IF(AND(#REF!="Diferenciado",$H$4=#REF!),BDI!$G$17,IF(AND(#REF!="Diferenciado",$H$4=#REF!),BDI!$H$17,IF(#REF!="ZERO",0))))),"")</f>
        <v>#REF!</v>
      </c>
      <c r="H320" s="161" t="e">
        <f t="shared" ca="1" si="13"/>
        <v>#REF!</v>
      </c>
      <c r="I320" s="159" t="e">
        <f t="shared" ca="1" si="14"/>
        <v>#REF!</v>
      </c>
    </row>
    <row r="321" spans="1:9" hidden="1" x14ac:dyDescent="0.25">
      <c r="A321" s="102" t="s">
        <v>1218</v>
      </c>
      <c r="B321" s="103" t="s">
        <v>3063</v>
      </c>
      <c r="C321" s="104" t="s">
        <v>184</v>
      </c>
      <c r="D321" s="104">
        <v>0</v>
      </c>
      <c r="E321" s="158">
        <f ca="1">OFFSET(INDEX(Composições!A:J,MATCH(Orçamentária!A321,Composições!A:A,0),10),2,0)</f>
        <v>0.76379999999999992</v>
      </c>
      <c r="F321" s="159">
        <f t="shared" ca="1" si="12"/>
        <v>0</v>
      </c>
      <c r="G321" s="160" t="e">
        <f>IF(A321&lt;&gt;"",IF(AND(#REF!="Padrão",$H$4=#REF!),BDI!$B$17,IF(AND(#REF!="Padrão",$H$4=#REF!),BDI!$C$17,IF(AND(#REF!="Diferenciado",$H$4=#REF!),BDI!$G$17,IF(AND(#REF!="Diferenciado",$H$4=#REF!),BDI!$H$17,IF(#REF!="ZERO",0))))),"")</f>
        <v>#REF!</v>
      </c>
      <c r="H321" s="161" t="e">
        <f t="shared" ca="1" si="13"/>
        <v>#REF!</v>
      </c>
      <c r="I321" s="159" t="e">
        <f t="shared" ca="1" si="14"/>
        <v>#REF!</v>
      </c>
    </row>
    <row r="322" spans="1:9" hidden="1" x14ac:dyDescent="0.25">
      <c r="A322" s="102" t="s">
        <v>1220</v>
      </c>
      <c r="B322" s="103" t="s">
        <v>3064</v>
      </c>
      <c r="C322" s="104" t="s">
        <v>32</v>
      </c>
      <c r="D322" s="104">
        <v>0</v>
      </c>
      <c r="E322" s="158">
        <f ca="1">OFFSET(INDEX(Composições!A:J,MATCH(Orçamentária!A322,Composições!A:A,0),10),2,0)</f>
        <v>29.516509499999998</v>
      </c>
      <c r="F322" s="159">
        <f t="shared" ca="1" si="12"/>
        <v>0</v>
      </c>
      <c r="G322" s="160" t="e">
        <f>IF(A322&lt;&gt;"",IF(AND(#REF!="Padrão",$H$4=#REF!),BDI!$B$17,IF(AND(#REF!="Padrão",$H$4=#REF!),BDI!$C$17,IF(AND(#REF!="Diferenciado",$H$4=#REF!),BDI!$G$17,IF(AND(#REF!="Diferenciado",$H$4=#REF!),BDI!$H$17,IF(#REF!="ZERO",0))))),"")</f>
        <v>#REF!</v>
      </c>
      <c r="H322" s="161" t="e">
        <f t="shared" ca="1" si="13"/>
        <v>#REF!</v>
      </c>
      <c r="I322" s="159" t="e">
        <f t="shared" ca="1" si="14"/>
        <v>#REF!</v>
      </c>
    </row>
    <row r="323" spans="1:9" hidden="1" x14ac:dyDescent="0.25">
      <c r="A323" s="102" t="s">
        <v>1228</v>
      </c>
      <c r="B323" s="103" t="s">
        <v>1229</v>
      </c>
      <c r="C323" s="104" t="s">
        <v>32</v>
      </c>
      <c r="D323" s="104">
        <v>0</v>
      </c>
      <c r="E323" s="158">
        <f ca="1">OFFSET(INDEX(Composições!A:J,MATCH(Orçamentária!A323,Composições!A:A,0),10),2,0)</f>
        <v>29.516509499999998</v>
      </c>
      <c r="F323" s="159">
        <f t="shared" ca="1" si="12"/>
        <v>0</v>
      </c>
      <c r="G323" s="160" t="e">
        <f>IF(A323&lt;&gt;"",IF(AND(#REF!="Padrão",$H$4=#REF!),BDI!$B$17,IF(AND(#REF!="Padrão",$H$4=#REF!),BDI!$C$17,IF(AND(#REF!="Diferenciado",$H$4=#REF!),BDI!$G$17,IF(AND(#REF!="Diferenciado",$H$4=#REF!),BDI!$H$17,IF(#REF!="ZERO",0))))),"")</f>
        <v>#REF!</v>
      </c>
      <c r="H323" s="161" t="e">
        <f t="shared" ca="1" si="13"/>
        <v>#REF!</v>
      </c>
      <c r="I323" s="159" t="e">
        <f t="shared" ca="1" si="14"/>
        <v>#REF!</v>
      </c>
    </row>
    <row r="324" spans="1:9" hidden="1" x14ac:dyDescent="0.25">
      <c r="A324" s="102" t="s">
        <v>1230</v>
      </c>
      <c r="B324" s="103" t="s">
        <v>3065</v>
      </c>
      <c r="C324" s="104" t="s">
        <v>32</v>
      </c>
      <c r="D324" s="104">
        <v>0</v>
      </c>
      <c r="E324" s="158">
        <f ca="1">OFFSET(INDEX(Composições!A:J,MATCH(Orçamentária!A324,Composições!A:A,0),10),2,0)</f>
        <v>26.059583000000003</v>
      </c>
      <c r="F324" s="159">
        <f t="shared" ca="1" si="12"/>
        <v>0</v>
      </c>
      <c r="G324" s="160" t="e">
        <f>IF(A324&lt;&gt;"",IF(AND(#REF!="Padrão",$H$4=#REF!),BDI!$B$17,IF(AND(#REF!="Padrão",$H$4=#REF!),BDI!$C$17,IF(AND(#REF!="Diferenciado",$H$4=#REF!),BDI!$G$17,IF(AND(#REF!="Diferenciado",$H$4=#REF!),BDI!$H$17,IF(#REF!="ZERO",0))))),"")</f>
        <v>#REF!</v>
      </c>
      <c r="H324" s="161" t="e">
        <f t="shared" ca="1" si="13"/>
        <v>#REF!</v>
      </c>
      <c r="I324" s="159" t="e">
        <f t="shared" ca="1" si="14"/>
        <v>#REF!</v>
      </c>
    </row>
    <row r="325" spans="1:9" hidden="1" x14ac:dyDescent="0.25">
      <c r="A325" s="102" t="s">
        <v>1235</v>
      </c>
      <c r="B325" s="103" t="s">
        <v>3066</v>
      </c>
      <c r="C325" s="104" t="s">
        <v>32</v>
      </c>
      <c r="D325" s="104">
        <v>0</v>
      </c>
      <c r="E325" s="158">
        <f ca="1">OFFSET(INDEX(Composições!A:J,MATCH(Orçamentária!A325,Composições!A:A,0),10),2,0)</f>
        <v>26.059583000000003</v>
      </c>
      <c r="F325" s="159">
        <f t="shared" ca="1" si="12"/>
        <v>0</v>
      </c>
      <c r="G325" s="160" t="e">
        <f>IF(A325&lt;&gt;"",IF(AND(#REF!="Padrão",$H$4=#REF!),BDI!$B$17,IF(AND(#REF!="Padrão",$H$4=#REF!),BDI!$C$17,IF(AND(#REF!="Diferenciado",$H$4=#REF!),BDI!$G$17,IF(AND(#REF!="Diferenciado",$H$4=#REF!),BDI!$H$17,IF(#REF!="ZERO",0))))),"")</f>
        <v>#REF!</v>
      </c>
      <c r="H325" s="161" t="e">
        <f t="shared" ca="1" si="13"/>
        <v>#REF!</v>
      </c>
      <c r="I325" s="159" t="e">
        <f t="shared" ca="1" si="14"/>
        <v>#REF!</v>
      </c>
    </row>
    <row r="326" spans="1:9" hidden="1" x14ac:dyDescent="0.25">
      <c r="A326" s="102" t="s">
        <v>1238</v>
      </c>
      <c r="B326" s="103" t="s">
        <v>3067</v>
      </c>
      <c r="C326" s="104" t="s">
        <v>32</v>
      </c>
      <c r="D326" s="104">
        <v>0</v>
      </c>
      <c r="E326" s="158">
        <f ca="1">OFFSET(INDEX(Composições!A:J,MATCH(Orçamentária!A326,Composições!A:A,0),10),2,0)</f>
        <v>26.059583000000003</v>
      </c>
      <c r="F326" s="159">
        <f t="shared" ca="1" si="12"/>
        <v>0</v>
      </c>
      <c r="G326" s="160" t="e">
        <f>IF(A326&lt;&gt;"",IF(AND(#REF!="Padrão",$H$4=#REF!),BDI!$B$17,IF(AND(#REF!="Padrão",$H$4=#REF!),BDI!$C$17,IF(AND(#REF!="Diferenciado",$H$4=#REF!),BDI!$G$17,IF(AND(#REF!="Diferenciado",$H$4=#REF!),BDI!$H$17,IF(#REF!="ZERO",0))))),"")</f>
        <v>#REF!</v>
      </c>
      <c r="H326" s="161" t="e">
        <f t="shared" ca="1" si="13"/>
        <v>#REF!</v>
      </c>
      <c r="I326" s="159" t="e">
        <f t="shared" ca="1" si="14"/>
        <v>#REF!</v>
      </c>
    </row>
    <row r="327" spans="1:9" hidden="1" x14ac:dyDescent="0.25">
      <c r="A327" s="102" t="s">
        <v>1241</v>
      </c>
      <c r="B327" s="103" t="s">
        <v>3068</v>
      </c>
      <c r="C327" s="104" t="s">
        <v>32</v>
      </c>
      <c r="D327" s="104">
        <v>0</v>
      </c>
      <c r="E327" s="158">
        <f ca="1">OFFSET(INDEX(Composições!A:J,MATCH(Orçamentária!A327,Composições!A:A,0),10),2,0)</f>
        <v>26.059583000000003</v>
      </c>
      <c r="F327" s="159">
        <f t="shared" ref="F327:F390" ca="1" si="15">IF(ISNUMBER(E327),D327*E327,"")</f>
        <v>0</v>
      </c>
      <c r="G327" s="160" t="e">
        <f>IF(A327&lt;&gt;"",IF(AND(#REF!="Padrão",$H$4=#REF!),BDI!$B$17,IF(AND(#REF!="Padrão",$H$4=#REF!),BDI!$C$17,IF(AND(#REF!="Diferenciado",$H$4=#REF!),BDI!$G$17,IF(AND(#REF!="Diferenciado",$H$4=#REF!),BDI!$H$17,IF(#REF!="ZERO",0))))),"")</f>
        <v>#REF!</v>
      </c>
      <c r="H327" s="161" t="e">
        <f t="shared" ref="H327:H390" ca="1" si="16">IF(ISNUMBER(E327),ROUND(E327*(1+G327),2),"")</f>
        <v>#REF!</v>
      </c>
      <c r="I327" s="159" t="e">
        <f t="shared" ref="I327:I390" ca="1" si="17">IF(ISNUMBER(E327),ROUND(H327*D327,2),"")</f>
        <v>#REF!</v>
      </c>
    </row>
    <row r="328" spans="1:9" hidden="1" x14ac:dyDescent="0.25">
      <c r="A328" s="102" t="s">
        <v>1243</v>
      </c>
      <c r="B328" s="103" t="s">
        <v>3069</v>
      </c>
      <c r="C328" s="104" t="s">
        <v>32</v>
      </c>
      <c r="D328" s="104">
        <v>0</v>
      </c>
      <c r="E328" s="158">
        <f ca="1">OFFSET(INDEX(Composições!A:J,MATCH(Orçamentária!A328,Composições!A:A,0),10),2,0)</f>
        <v>135.23200599999998</v>
      </c>
      <c r="F328" s="159">
        <f t="shared" ca="1" si="15"/>
        <v>0</v>
      </c>
      <c r="G328" s="160" t="e">
        <f>IF(A328&lt;&gt;"",IF(AND(#REF!="Padrão",$H$4=#REF!),BDI!$B$17,IF(AND(#REF!="Padrão",$H$4=#REF!),BDI!$C$17,IF(AND(#REF!="Diferenciado",$H$4=#REF!),BDI!$G$17,IF(AND(#REF!="Diferenciado",$H$4=#REF!),BDI!$H$17,IF(#REF!="ZERO",0))))),"")</f>
        <v>#REF!</v>
      </c>
      <c r="H328" s="161" t="e">
        <f t="shared" ca="1" si="16"/>
        <v>#REF!</v>
      </c>
      <c r="I328" s="159" t="e">
        <f t="shared" ca="1" si="17"/>
        <v>#REF!</v>
      </c>
    </row>
    <row r="329" spans="1:9" hidden="1" x14ac:dyDescent="0.25">
      <c r="A329" s="102" t="s">
        <v>1247</v>
      </c>
      <c r="B329" s="103" t="s">
        <v>3070</v>
      </c>
      <c r="C329" s="104" t="s">
        <v>32</v>
      </c>
      <c r="D329" s="104">
        <v>0</v>
      </c>
      <c r="E329" s="158">
        <f ca="1">OFFSET(INDEX(Composições!A:J,MATCH(Orçamentária!A329,Composições!A:A,0),10),2,0)</f>
        <v>116.76400599999999</v>
      </c>
      <c r="F329" s="159">
        <f t="shared" ca="1" si="15"/>
        <v>0</v>
      </c>
      <c r="G329" s="160" t="e">
        <f>IF(A329&lt;&gt;"",IF(AND(#REF!="Padrão",$H$4=#REF!),BDI!$B$17,IF(AND(#REF!="Padrão",$H$4=#REF!),BDI!$C$17,IF(AND(#REF!="Diferenciado",$H$4=#REF!),BDI!$G$17,IF(AND(#REF!="Diferenciado",$H$4=#REF!),BDI!$H$17,IF(#REF!="ZERO",0))))),"")</f>
        <v>#REF!</v>
      </c>
      <c r="H329" s="161" t="e">
        <f t="shared" ca="1" si="16"/>
        <v>#REF!</v>
      </c>
      <c r="I329" s="159" t="e">
        <f t="shared" ca="1" si="17"/>
        <v>#REF!</v>
      </c>
    </row>
    <row r="330" spans="1:9" hidden="1" x14ac:dyDescent="0.25">
      <c r="A330" s="102" t="s">
        <v>1251</v>
      </c>
      <c r="B330" s="103" t="s">
        <v>3071</v>
      </c>
      <c r="C330" s="104" t="s">
        <v>32</v>
      </c>
      <c r="D330" s="104">
        <v>0</v>
      </c>
      <c r="E330" s="158">
        <f ca="1">OFFSET(INDEX(Composições!A:J,MATCH(Orçamentária!A330,Composições!A:A,0),10),2,0)</f>
        <v>86.517583000000002</v>
      </c>
      <c r="F330" s="159">
        <f t="shared" ca="1" si="15"/>
        <v>0</v>
      </c>
      <c r="G330" s="160" t="e">
        <f>IF(A330&lt;&gt;"",IF(AND(#REF!="Padrão",$H$4=#REF!),BDI!$B$17,IF(AND(#REF!="Padrão",$H$4=#REF!),BDI!$C$17,IF(AND(#REF!="Diferenciado",$H$4=#REF!),BDI!$G$17,IF(AND(#REF!="Diferenciado",$H$4=#REF!),BDI!$H$17,IF(#REF!="ZERO",0))))),"")</f>
        <v>#REF!</v>
      </c>
      <c r="H330" s="161" t="e">
        <f t="shared" ca="1" si="16"/>
        <v>#REF!</v>
      </c>
      <c r="I330" s="159" t="e">
        <f t="shared" ca="1" si="17"/>
        <v>#REF!</v>
      </c>
    </row>
    <row r="331" spans="1:9" hidden="1" x14ac:dyDescent="0.25">
      <c r="A331" s="102" t="s">
        <v>1254</v>
      </c>
      <c r="B331" s="103" t="s">
        <v>3072</v>
      </c>
      <c r="C331" s="104" t="s">
        <v>32</v>
      </c>
      <c r="D331" s="104">
        <v>0</v>
      </c>
      <c r="E331" s="158">
        <f ca="1">OFFSET(INDEX(Composições!A:J,MATCH(Orçamentária!A331,Composições!A:A,0),10),2,0)</f>
        <v>70.842583000000005</v>
      </c>
      <c r="F331" s="159">
        <f t="shared" ca="1" si="15"/>
        <v>0</v>
      </c>
      <c r="G331" s="160" t="e">
        <f>IF(A331&lt;&gt;"",IF(AND(#REF!="Padrão",$H$4=#REF!),BDI!$B$17,IF(AND(#REF!="Padrão",$H$4=#REF!),BDI!$C$17,IF(AND(#REF!="Diferenciado",$H$4=#REF!),BDI!$G$17,IF(AND(#REF!="Diferenciado",$H$4=#REF!),BDI!$H$17,IF(#REF!="ZERO",0))))),"")</f>
        <v>#REF!</v>
      </c>
      <c r="H331" s="161" t="e">
        <f t="shared" ca="1" si="16"/>
        <v>#REF!</v>
      </c>
      <c r="I331" s="159" t="e">
        <f t="shared" ca="1" si="17"/>
        <v>#REF!</v>
      </c>
    </row>
    <row r="332" spans="1:9" hidden="1" x14ac:dyDescent="0.25">
      <c r="A332" s="102" t="s">
        <v>1257</v>
      </c>
      <c r="B332" s="103" t="s">
        <v>3073</v>
      </c>
      <c r="C332" s="104" t="s">
        <v>189</v>
      </c>
      <c r="D332" s="104">
        <v>0</v>
      </c>
      <c r="E332" s="158">
        <f ca="1">OFFSET(INDEX(Composições!A:J,MATCH(Orçamentária!A332,Composições!A:A,0),10),2,0)</f>
        <v>3.3516000000000004</v>
      </c>
      <c r="F332" s="159">
        <f t="shared" ca="1" si="15"/>
        <v>0</v>
      </c>
      <c r="G332" s="160" t="e">
        <f>IF(A332&lt;&gt;"",IF(AND(#REF!="Padrão",$H$4=#REF!),BDI!$B$17,IF(AND(#REF!="Padrão",$H$4=#REF!),BDI!$C$17,IF(AND(#REF!="Diferenciado",$H$4=#REF!),BDI!$G$17,IF(AND(#REF!="Diferenciado",$H$4=#REF!),BDI!$H$17,IF(#REF!="ZERO",0))))),"")</f>
        <v>#REF!</v>
      </c>
      <c r="H332" s="161" t="e">
        <f t="shared" ca="1" si="16"/>
        <v>#REF!</v>
      </c>
      <c r="I332" s="159" t="e">
        <f t="shared" ca="1" si="17"/>
        <v>#REF!</v>
      </c>
    </row>
    <row r="333" spans="1:9" hidden="1" x14ac:dyDescent="0.25">
      <c r="A333" s="102" t="s">
        <v>1259</v>
      </c>
      <c r="B333" s="103" t="s">
        <v>3074</v>
      </c>
      <c r="C333" s="104" t="s">
        <v>184</v>
      </c>
      <c r="D333" s="104">
        <v>0</v>
      </c>
      <c r="E333" s="158">
        <f ca="1">OFFSET(INDEX(Composições!A:J,MATCH(Orçamentária!A333,Composições!A:A,0),10),2,0)</f>
        <v>67.209016199999994</v>
      </c>
      <c r="F333" s="159">
        <f t="shared" ca="1" si="15"/>
        <v>0</v>
      </c>
      <c r="G333" s="160" t="e">
        <f>IF(A333&lt;&gt;"",IF(AND(#REF!="Padrão",$H$4=#REF!),BDI!$B$17,IF(AND(#REF!="Padrão",$H$4=#REF!),BDI!$C$17,IF(AND(#REF!="Diferenciado",$H$4=#REF!),BDI!$G$17,IF(AND(#REF!="Diferenciado",$H$4=#REF!),BDI!$H$17,IF(#REF!="ZERO",0))))),"")</f>
        <v>#REF!</v>
      </c>
      <c r="H333" s="161" t="e">
        <f t="shared" ca="1" si="16"/>
        <v>#REF!</v>
      </c>
      <c r="I333" s="159" t="e">
        <f t="shared" ca="1" si="17"/>
        <v>#REF!</v>
      </c>
    </row>
    <row r="334" spans="1:9" hidden="1" x14ac:dyDescent="0.25">
      <c r="A334" s="102" t="s">
        <v>1264</v>
      </c>
      <c r="B334" s="103" t="s">
        <v>3075</v>
      </c>
      <c r="C334" s="104" t="s">
        <v>184</v>
      </c>
      <c r="D334" s="104">
        <v>0</v>
      </c>
      <c r="E334" s="158">
        <f ca="1">OFFSET(INDEX(Composições!A:J,MATCH(Orçamentária!A334,Composições!A:A,0),10),2,0)</f>
        <v>12.733799799999998</v>
      </c>
      <c r="F334" s="159">
        <f t="shared" ca="1" si="15"/>
        <v>0</v>
      </c>
      <c r="G334" s="160" t="e">
        <f>IF(A334&lt;&gt;"",IF(AND(#REF!="Padrão",$H$4=#REF!),BDI!$B$17,IF(AND(#REF!="Padrão",$H$4=#REF!),BDI!$C$17,IF(AND(#REF!="Diferenciado",$H$4=#REF!),BDI!$G$17,IF(AND(#REF!="Diferenciado",$H$4=#REF!),BDI!$H$17,IF(#REF!="ZERO",0))))),"")</f>
        <v>#REF!</v>
      </c>
      <c r="H334" s="161" t="e">
        <f t="shared" ca="1" si="16"/>
        <v>#REF!</v>
      </c>
      <c r="I334" s="159" t="e">
        <f t="shared" ca="1" si="17"/>
        <v>#REF!</v>
      </c>
    </row>
    <row r="335" spans="1:9" hidden="1" x14ac:dyDescent="0.25">
      <c r="A335" s="102" t="s">
        <v>1268</v>
      </c>
      <c r="B335" s="103" t="s">
        <v>3076</v>
      </c>
      <c r="C335" s="104" t="s">
        <v>184</v>
      </c>
      <c r="D335" s="104">
        <v>0</v>
      </c>
      <c r="E335" s="158">
        <f ca="1">OFFSET(INDEX(Composições!A:J,MATCH(Orçamentária!A335,Composições!A:A,0),10),2,0)</f>
        <v>4.9033686000000003</v>
      </c>
      <c r="F335" s="159">
        <f t="shared" ca="1" si="15"/>
        <v>0</v>
      </c>
      <c r="G335" s="160" t="e">
        <f>IF(A335&lt;&gt;"",IF(AND(#REF!="Padrão",$H$4=#REF!),BDI!$B$17,IF(AND(#REF!="Padrão",$H$4=#REF!),BDI!$C$17,IF(AND(#REF!="Diferenciado",$H$4=#REF!),BDI!$G$17,IF(AND(#REF!="Diferenciado",$H$4=#REF!),BDI!$H$17,IF(#REF!="ZERO",0))))),"")</f>
        <v>#REF!</v>
      </c>
      <c r="H335" s="161" t="e">
        <f t="shared" ca="1" si="16"/>
        <v>#REF!</v>
      </c>
      <c r="I335" s="159" t="e">
        <f t="shared" ca="1" si="17"/>
        <v>#REF!</v>
      </c>
    </row>
    <row r="336" spans="1:9" hidden="1" x14ac:dyDescent="0.25">
      <c r="A336" s="102" t="s">
        <v>1272</v>
      </c>
      <c r="B336" s="103" t="s">
        <v>3077</v>
      </c>
      <c r="C336" s="104" t="s">
        <v>184</v>
      </c>
      <c r="D336" s="104">
        <v>0</v>
      </c>
      <c r="E336" s="158">
        <f ca="1">OFFSET(INDEX(Composições!A:J,MATCH(Orçamentária!A336,Composições!A:A,0),10),2,0)</f>
        <v>60.47996719999999</v>
      </c>
      <c r="F336" s="159">
        <f t="shared" ca="1" si="15"/>
        <v>0</v>
      </c>
      <c r="G336" s="160" t="e">
        <f>IF(A336&lt;&gt;"",IF(AND(#REF!="Padrão",$H$4=#REF!),BDI!$B$17,IF(AND(#REF!="Padrão",$H$4=#REF!),BDI!$C$17,IF(AND(#REF!="Diferenciado",$H$4=#REF!),BDI!$G$17,IF(AND(#REF!="Diferenciado",$H$4=#REF!),BDI!$H$17,IF(#REF!="ZERO",0))))),"")</f>
        <v>#REF!</v>
      </c>
      <c r="H336" s="161" t="e">
        <f t="shared" ca="1" si="16"/>
        <v>#REF!</v>
      </c>
      <c r="I336" s="159" t="e">
        <f t="shared" ca="1" si="17"/>
        <v>#REF!</v>
      </c>
    </row>
    <row r="337" spans="1:9" hidden="1" x14ac:dyDescent="0.25">
      <c r="A337" s="102" t="s">
        <v>1274</v>
      </c>
      <c r="B337" s="103" t="s">
        <v>3078</v>
      </c>
      <c r="C337" s="104" t="s">
        <v>184</v>
      </c>
      <c r="D337" s="104">
        <v>0</v>
      </c>
      <c r="E337" s="158">
        <f ca="1">OFFSET(INDEX(Composições!A:J,MATCH(Orçamentária!A337,Composições!A:A,0),10),2,0)</f>
        <v>11.601003599999999</v>
      </c>
      <c r="F337" s="159">
        <f t="shared" ca="1" si="15"/>
        <v>0</v>
      </c>
      <c r="G337" s="160" t="e">
        <f>IF(A337&lt;&gt;"",IF(AND(#REF!="Padrão",$H$4=#REF!),BDI!$B$17,IF(AND(#REF!="Padrão",$H$4=#REF!),BDI!$C$17,IF(AND(#REF!="Diferenciado",$H$4=#REF!),BDI!$G$17,IF(AND(#REF!="Diferenciado",$H$4=#REF!),BDI!$H$17,IF(#REF!="ZERO",0))))),"")</f>
        <v>#REF!</v>
      </c>
      <c r="H337" s="161" t="e">
        <f t="shared" ca="1" si="16"/>
        <v>#REF!</v>
      </c>
      <c r="I337" s="159" t="e">
        <f t="shared" ca="1" si="17"/>
        <v>#REF!</v>
      </c>
    </row>
    <row r="338" spans="1:9" hidden="1" x14ac:dyDescent="0.25">
      <c r="A338" s="102" t="s">
        <v>1278</v>
      </c>
      <c r="B338" s="103" t="s">
        <v>3079</v>
      </c>
      <c r="C338" s="104" t="s">
        <v>184</v>
      </c>
      <c r="D338" s="104">
        <v>0</v>
      </c>
      <c r="E338" s="158">
        <f ca="1">OFFSET(INDEX(Composições!A:J,MATCH(Orçamentária!A338,Composições!A:A,0),10),2,0)</f>
        <v>15.122705199999999</v>
      </c>
      <c r="F338" s="159">
        <f t="shared" ca="1" si="15"/>
        <v>0</v>
      </c>
      <c r="G338" s="160" t="e">
        <f>IF(A338&lt;&gt;"",IF(AND(#REF!="Padrão",$H$4=#REF!),BDI!$B$17,IF(AND(#REF!="Padrão",$H$4=#REF!),BDI!$C$17,IF(AND(#REF!="Diferenciado",$H$4=#REF!),BDI!$G$17,IF(AND(#REF!="Diferenciado",$H$4=#REF!),BDI!$H$17,IF(#REF!="ZERO",0))))),"")</f>
        <v>#REF!</v>
      </c>
      <c r="H338" s="161" t="e">
        <f t="shared" ca="1" si="16"/>
        <v>#REF!</v>
      </c>
      <c r="I338" s="159" t="e">
        <f t="shared" ca="1" si="17"/>
        <v>#REF!</v>
      </c>
    </row>
    <row r="339" spans="1:9" hidden="1" x14ac:dyDescent="0.25">
      <c r="A339" s="102" t="s">
        <v>1280</v>
      </c>
      <c r="B339" s="103" t="s">
        <v>3080</v>
      </c>
      <c r="C339" s="104" t="s">
        <v>184</v>
      </c>
      <c r="D339" s="104">
        <v>0</v>
      </c>
      <c r="E339" s="158">
        <f ca="1">OFFSET(INDEX(Composições!A:J,MATCH(Orçamentária!A339,Composições!A:A,0),10),2,0)</f>
        <v>48.737317199999993</v>
      </c>
      <c r="F339" s="159">
        <f t="shared" ca="1" si="15"/>
        <v>0</v>
      </c>
      <c r="G339" s="160" t="e">
        <f>IF(A339&lt;&gt;"",IF(AND(#REF!="Padrão",$H$4=#REF!),BDI!$B$17,IF(AND(#REF!="Padrão",$H$4=#REF!),BDI!$C$17,IF(AND(#REF!="Diferenciado",$H$4=#REF!),BDI!$G$17,IF(AND(#REF!="Diferenciado",$H$4=#REF!),BDI!$H$17,IF(#REF!="ZERO",0))))),"")</f>
        <v>#REF!</v>
      </c>
      <c r="H339" s="161" t="e">
        <f t="shared" ca="1" si="16"/>
        <v>#REF!</v>
      </c>
      <c r="I339" s="159" t="e">
        <f t="shared" ca="1" si="17"/>
        <v>#REF!</v>
      </c>
    </row>
    <row r="340" spans="1:9" hidden="1" x14ac:dyDescent="0.25">
      <c r="A340" s="102" t="s">
        <v>1282</v>
      </c>
      <c r="B340" s="103" t="s">
        <v>3081</v>
      </c>
      <c r="C340" s="104" t="s">
        <v>184</v>
      </c>
      <c r="D340" s="104">
        <v>0</v>
      </c>
      <c r="E340" s="158">
        <f ca="1">OFFSET(INDEX(Composições!A:J,MATCH(Orçamentária!A340,Composições!A:A,0),10),2,0)</f>
        <v>0.64350719999999995</v>
      </c>
      <c r="F340" s="159">
        <f t="shared" ca="1" si="15"/>
        <v>0</v>
      </c>
      <c r="G340" s="160" t="e">
        <f>IF(A340&lt;&gt;"",IF(AND(#REF!="Padrão",$H$4=#REF!),BDI!$B$17,IF(AND(#REF!="Padrão",$H$4=#REF!),BDI!$C$17,IF(AND(#REF!="Diferenciado",$H$4=#REF!),BDI!$G$17,IF(AND(#REF!="Diferenciado",$H$4=#REF!),BDI!$H$17,IF(#REF!="ZERO",0))))),"")</f>
        <v>#REF!</v>
      </c>
      <c r="H340" s="161" t="e">
        <f t="shared" ca="1" si="16"/>
        <v>#REF!</v>
      </c>
      <c r="I340" s="159" t="e">
        <f t="shared" ca="1" si="17"/>
        <v>#REF!</v>
      </c>
    </row>
    <row r="341" spans="1:9" hidden="1" x14ac:dyDescent="0.25">
      <c r="A341" s="102" t="s">
        <v>1284</v>
      </c>
      <c r="B341" s="103" t="s">
        <v>3082</v>
      </c>
      <c r="C341" s="104" t="s">
        <v>184</v>
      </c>
      <c r="D341" s="104">
        <v>0</v>
      </c>
      <c r="E341" s="158">
        <f ca="1">OFFSET(INDEX(Composições!A:J,MATCH(Orçamentária!A341,Composições!A:A,0),10),2,0)</f>
        <v>0.64350719999999995</v>
      </c>
      <c r="F341" s="159">
        <f t="shared" ca="1" si="15"/>
        <v>0</v>
      </c>
      <c r="G341" s="160" t="e">
        <f>IF(A341&lt;&gt;"",IF(AND(#REF!="Padrão",$H$4=#REF!),BDI!$B$17,IF(AND(#REF!="Padrão",$H$4=#REF!),BDI!$C$17,IF(AND(#REF!="Diferenciado",$H$4=#REF!),BDI!$G$17,IF(AND(#REF!="Diferenciado",$H$4=#REF!),BDI!$H$17,IF(#REF!="ZERO",0))))),"")</f>
        <v>#REF!</v>
      </c>
      <c r="H341" s="161" t="e">
        <f t="shared" ca="1" si="16"/>
        <v>#REF!</v>
      </c>
      <c r="I341" s="159" t="e">
        <f t="shared" ca="1" si="17"/>
        <v>#REF!</v>
      </c>
    </row>
    <row r="342" spans="1:9" hidden="1" x14ac:dyDescent="0.25">
      <c r="A342" s="102" t="s">
        <v>1286</v>
      </c>
      <c r="B342" s="103" t="s">
        <v>3083</v>
      </c>
      <c r="C342" s="104" t="s">
        <v>184</v>
      </c>
      <c r="D342" s="104">
        <v>0</v>
      </c>
      <c r="E342" s="158">
        <f ca="1">OFFSET(INDEX(Composições!A:J,MATCH(Orçamentária!A342,Composições!A:A,0),10),2,0)</f>
        <v>90.745371199999994</v>
      </c>
      <c r="F342" s="159">
        <f t="shared" ca="1" si="15"/>
        <v>0</v>
      </c>
      <c r="G342" s="160" t="e">
        <f>IF(A342&lt;&gt;"",IF(AND(#REF!="Padrão",$H$4=#REF!),BDI!$B$17,IF(AND(#REF!="Padrão",$H$4=#REF!),BDI!$C$17,IF(AND(#REF!="Diferenciado",$H$4=#REF!),BDI!$G$17,IF(AND(#REF!="Diferenciado",$H$4=#REF!),BDI!$H$17,IF(#REF!="ZERO",0))))),"")</f>
        <v>#REF!</v>
      </c>
      <c r="H342" s="161" t="e">
        <f t="shared" ca="1" si="16"/>
        <v>#REF!</v>
      </c>
      <c r="I342" s="159" t="e">
        <f t="shared" ca="1" si="17"/>
        <v>#REF!</v>
      </c>
    </row>
    <row r="343" spans="1:9" hidden="1" x14ac:dyDescent="0.25">
      <c r="A343" s="102" t="s">
        <v>1288</v>
      </c>
      <c r="B343" s="103" t="s">
        <v>3084</v>
      </c>
      <c r="C343" s="104" t="s">
        <v>184</v>
      </c>
      <c r="D343" s="104">
        <v>0</v>
      </c>
      <c r="E343" s="158">
        <f ca="1">OFFSET(INDEX(Composições!A:J,MATCH(Orçamentária!A343,Composições!A:A,0),10),2,0)</f>
        <v>62.951029199999994</v>
      </c>
      <c r="F343" s="159">
        <f t="shared" ca="1" si="15"/>
        <v>0</v>
      </c>
      <c r="G343" s="160" t="e">
        <f>IF(A343&lt;&gt;"",IF(AND(#REF!="Padrão",$H$4=#REF!),BDI!$B$17,IF(AND(#REF!="Padrão",$H$4=#REF!),BDI!$C$17,IF(AND(#REF!="Diferenciado",$H$4=#REF!),BDI!$G$17,IF(AND(#REF!="Diferenciado",$H$4=#REF!),BDI!$H$17,IF(#REF!="ZERO",0))))),"")</f>
        <v>#REF!</v>
      </c>
      <c r="H343" s="161" t="e">
        <f t="shared" ca="1" si="16"/>
        <v>#REF!</v>
      </c>
      <c r="I343" s="159" t="e">
        <f t="shared" ca="1" si="17"/>
        <v>#REF!</v>
      </c>
    </row>
    <row r="344" spans="1:9" hidden="1" x14ac:dyDescent="0.25">
      <c r="A344" s="102" t="s">
        <v>1290</v>
      </c>
      <c r="B344" s="103" t="s">
        <v>3085</v>
      </c>
      <c r="C344" s="104" t="s">
        <v>189</v>
      </c>
      <c r="D344" s="104">
        <v>0</v>
      </c>
      <c r="E344" s="158">
        <f ca="1">OFFSET(INDEX(Composições!A:J,MATCH(Orçamentária!A344,Composições!A:A,0),10),2,0)</f>
        <v>6.7032000000000007</v>
      </c>
      <c r="F344" s="159">
        <f t="shared" ca="1" si="15"/>
        <v>0</v>
      </c>
      <c r="G344" s="160" t="e">
        <f>IF(A344&lt;&gt;"",IF(AND(#REF!="Padrão",$H$4=#REF!),BDI!$B$17,IF(AND(#REF!="Padrão",$H$4=#REF!),BDI!$C$17,IF(AND(#REF!="Diferenciado",$H$4=#REF!),BDI!$G$17,IF(AND(#REF!="Diferenciado",$H$4=#REF!),BDI!$H$17,IF(#REF!="ZERO",0))))),"")</f>
        <v>#REF!</v>
      </c>
      <c r="H344" s="161" t="e">
        <f t="shared" ca="1" si="16"/>
        <v>#REF!</v>
      </c>
      <c r="I344" s="159" t="e">
        <f t="shared" ca="1" si="17"/>
        <v>#REF!</v>
      </c>
    </row>
    <row r="345" spans="1:9" hidden="1" x14ac:dyDescent="0.25">
      <c r="A345" s="102" t="s">
        <v>1292</v>
      </c>
      <c r="B345" s="103" t="s">
        <v>3086</v>
      </c>
      <c r="C345" s="104" t="s">
        <v>184</v>
      </c>
      <c r="D345" s="104">
        <v>0</v>
      </c>
      <c r="E345" s="158">
        <f ca="1">OFFSET(INDEX(Composições!A:J,MATCH(Orçamentária!A345,Composições!A:A,0),10),2,0)</f>
        <v>51.499404999999996</v>
      </c>
      <c r="F345" s="159">
        <f t="shared" ca="1" si="15"/>
        <v>0</v>
      </c>
      <c r="G345" s="160" t="e">
        <f>IF(A345&lt;&gt;"",IF(AND(#REF!="Padrão",$H$4=#REF!),BDI!$B$17,IF(AND(#REF!="Padrão",$H$4=#REF!),BDI!$C$17,IF(AND(#REF!="Diferenciado",$H$4=#REF!),BDI!$G$17,IF(AND(#REF!="Diferenciado",$H$4=#REF!),BDI!$H$17,IF(#REF!="ZERO",0))))),"")</f>
        <v>#REF!</v>
      </c>
      <c r="H345" s="161" t="e">
        <f t="shared" ca="1" si="16"/>
        <v>#REF!</v>
      </c>
      <c r="I345" s="159" t="e">
        <f t="shared" ca="1" si="17"/>
        <v>#REF!</v>
      </c>
    </row>
    <row r="346" spans="1:9" hidden="1" x14ac:dyDescent="0.25">
      <c r="A346" s="102" t="s">
        <v>1297</v>
      </c>
      <c r="B346" s="103" t="s">
        <v>3087</v>
      </c>
      <c r="C346" s="104" t="s">
        <v>184</v>
      </c>
      <c r="D346" s="104">
        <v>0</v>
      </c>
      <c r="E346" s="158">
        <f ca="1">OFFSET(INDEX(Composições!A:J,MATCH(Orçamentária!A346,Composições!A:A,0),10),2,0)</f>
        <v>9.2169000000000025</v>
      </c>
      <c r="F346" s="159">
        <f t="shared" ca="1" si="15"/>
        <v>0</v>
      </c>
      <c r="G346" s="160" t="e">
        <f>IF(A346&lt;&gt;"",IF(AND(#REF!="Padrão",$H$4=#REF!),BDI!$B$17,IF(AND(#REF!="Padrão",$H$4=#REF!),BDI!$C$17,IF(AND(#REF!="Diferenciado",$H$4=#REF!),BDI!$G$17,IF(AND(#REF!="Diferenciado",$H$4=#REF!),BDI!$H$17,IF(#REF!="ZERO",0))))),"")</f>
        <v>#REF!</v>
      </c>
      <c r="H346" s="161" t="e">
        <f t="shared" ca="1" si="16"/>
        <v>#REF!</v>
      </c>
      <c r="I346" s="159" t="e">
        <f t="shared" ca="1" si="17"/>
        <v>#REF!</v>
      </c>
    </row>
    <row r="347" spans="1:9" hidden="1" x14ac:dyDescent="0.25">
      <c r="A347" s="102" t="s">
        <v>1301</v>
      </c>
      <c r="B347" s="103" t="s">
        <v>3088</v>
      </c>
      <c r="C347" s="104" t="s">
        <v>184</v>
      </c>
      <c r="D347" s="104">
        <v>0</v>
      </c>
      <c r="E347" s="158">
        <f ca="1">OFFSET(INDEX(Composições!A:J,MATCH(Orçamentária!A347,Composições!A:A,0),10),2,0)</f>
        <v>9.9542520000000003</v>
      </c>
      <c r="F347" s="159">
        <f t="shared" ca="1" si="15"/>
        <v>0</v>
      </c>
      <c r="G347" s="160" t="e">
        <f>IF(A347&lt;&gt;"",IF(AND(#REF!="Padrão",$H$4=#REF!),BDI!$B$17,IF(AND(#REF!="Padrão",$H$4=#REF!),BDI!$C$17,IF(AND(#REF!="Diferenciado",$H$4=#REF!),BDI!$G$17,IF(AND(#REF!="Diferenciado",$H$4=#REF!),BDI!$H$17,IF(#REF!="ZERO",0))))),"")</f>
        <v>#REF!</v>
      </c>
      <c r="H347" s="161" t="e">
        <f t="shared" ca="1" si="16"/>
        <v>#REF!</v>
      </c>
      <c r="I347" s="159" t="e">
        <f t="shared" ca="1" si="17"/>
        <v>#REF!</v>
      </c>
    </row>
    <row r="348" spans="1:9" hidden="1" x14ac:dyDescent="0.25">
      <c r="A348" s="102" t="s">
        <v>1305</v>
      </c>
      <c r="B348" s="103" t="s">
        <v>3089</v>
      </c>
      <c r="C348" s="104" t="s">
        <v>184</v>
      </c>
      <c r="D348" s="104">
        <v>0</v>
      </c>
      <c r="E348" s="158">
        <f ca="1">OFFSET(INDEX(Composições!A:J,MATCH(Orçamentária!A348,Composições!A:A,0),10),2,0)</f>
        <v>35.331307499999994</v>
      </c>
      <c r="F348" s="159">
        <f t="shared" ca="1" si="15"/>
        <v>0</v>
      </c>
      <c r="G348" s="160" t="e">
        <f>IF(A348&lt;&gt;"",IF(AND(#REF!="Padrão",$H$4=#REF!),BDI!$B$17,IF(AND(#REF!="Padrão",$H$4=#REF!),BDI!$C$17,IF(AND(#REF!="Diferenciado",$H$4=#REF!),BDI!$G$17,IF(AND(#REF!="Diferenciado",$H$4=#REF!),BDI!$H$17,IF(#REF!="ZERO",0))))),"")</f>
        <v>#REF!</v>
      </c>
      <c r="H348" s="161" t="e">
        <f t="shared" ca="1" si="16"/>
        <v>#REF!</v>
      </c>
      <c r="I348" s="159" t="e">
        <f t="shared" ca="1" si="17"/>
        <v>#REF!</v>
      </c>
    </row>
    <row r="349" spans="1:9" hidden="1" x14ac:dyDescent="0.25">
      <c r="A349" s="102" t="s">
        <v>1308</v>
      </c>
      <c r="B349" s="103" t="s">
        <v>3090</v>
      </c>
      <c r="C349" s="104" t="s">
        <v>184</v>
      </c>
      <c r="D349" s="104">
        <v>0</v>
      </c>
      <c r="E349" s="158">
        <f ca="1">OFFSET(INDEX(Composições!A:J,MATCH(Orçamentária!A349,Composições!A:A,0),10),2,0)</f>
        <v>26.671704099999996</v>
      </c>
      <c r="F349" s="159">
        <f t="shared" ca="1" si="15"/>
        <v>0</v>
      </c>
      <c r="G349" s="160" t="e">
        <f>IF(A349&lt;&gt;"",IF(AND(#REF!="Padrão",$H$4=#REF!),BDI!$B$17,IF(AND(#REF!="Padrão",$H$4=#REF!),BDI!$C$17,IF(AND(#REF!="Diferenciado",$H$4=#REF!),BDI!$G$17,IF(AND(#REF!="Diferenciado",$H$4=#REF!),BDI!$H$17,IF(#REF!="ZERO",0))))),"")</f>
        <v>#REF!</v>
      </c>
      <c r="H349" s="161" t="e">
        <f t="shared" ca="1" si="16"/>
        <v>#REF!</v>
      </c>
      <c r="I349" s="159" t="e">
        <f t="shared" ca="1" si="17"/>
        <v>#REF!</v>
      </c>
    </row>
    <row r="350" spans="1:9" hidden="1" x14ac:dyDescent="0.25">
      <c r="A350" s="102" t="s">
        <v>1311</v>
      </c>
      <c r="B350" s="103" t="s">
        <v>3091</v>
      </c>
      <c r="C350" s="104" t="s">
        <v>184</v>
      </c>
      <c r="D350" s="104">
        <v>0</v>
      </c>
      <c r="E350" s="158">
        <f ca="1">OFFSET(INDEX(Composições!A:J,MATCH(Orçamentária!A350,Composições!A:A,0),10),2,0)</f>
        <v>13.316443549999999</v>
      </c>
      <c r="F350" s="159">
        <f t="shared" ca="1" si="15"/>
        <v>0</v>
      </c>
      <c r="G350" s="160" t="e">
        <f>IF(A350&lt;&gt;"",IF(AND(#REF!="Padrão",$H$4=#REF!),BDI!$B$17,IF(AND(#REF!="Padrão",$H$4=#REF!),BDI!$C$17,IF(AND(#REF!="Diferenciado",$H$4=#REF!),BDI!$G$17,IF(AND(#REF!="Diferenciado",$H$4=#REF!),BDI!$H$17,IF(#REF!="ZERO",0))))),"")</f>
        <v>#REF!</v>
      </c>
      <c r="H350" s="161" t="e">
        <f t="shared" ca="1" si="16"/>
        <v>#REF!</v>
      </c>
      <c r="I350" s="159" t="e">
        <f t="shared" ca="1" si="17"/>
        <v>#REF!</v>
      </c>
    </row>
    <row r="351" spans="1:9" hidden="1" x14ac:dyDescent="0.25">
      <c r="A351" s="102" t="s">
        <v>1314</v>
      </c>
      <c r="B351" s="103" t="s">
        <v>3092</v>
      </c>
      <c r="C351" s="104" t="s">
        <v>184</v>
      </c>
      <c r="D351" s="104">
        <v>0</v>
      </c>
      <c r="E351" s="158">
        <f ca="1">OFFSET(INDEX(Composições!A:J,MATCH(Orçamentária!A351,Composições!A:A,0),10),2,0)</f>
        <v>39.46907809999999</v>
      </c>
      <c r="F351" s="159">
        <f t="shared" ca="1" si="15"/>
        <v>0</v>
      </c>
      <c r="G351" s="160" t="e">
        <f>IF(A351&lt;&gt;"",IF(AND(#REF!="Padrão",$H$4=#REF!),BDI!$B$17,IF(AND(#REF!="Padrão",$H$4=#REF!),BDI!$C$17,IF(AND(#REF!="Diferenciado",$H$4=#REF!),BDI!$G$17,IF(AND(#REF!="Diferenciado",$H$4=#REF!),BDI!$H$17,IF(#REF!="ZERO",0))))),"")</f>
        <v>#REF!</v>
      </c>
      <c r="H351" s="161" t="e">
        <f t="shared" ca="1" si="16"/>
        <v>#REF!</v>
      </c>
      <c r="I351" s="159" t="e">
        <f t="shared" ca="1" si="17"/>
        <v>#REF!</v>
      </c>
    </row>
    <row r="352" spans="1:9" hidden="1" x14ac:dyDescent="0.25">
      <c r="A352" s="102" t="s">
        <v>1317</v>
      </c>
      <c r="B352" s="103" t="s">
        <v>3093</v>
      </c>
      <c r="C352" s="104" t="s">
        <v>184</v>
      </c>
      <c r="D352" s="104">
        <v>0</v>
      </c>
      <c r="E352" s="158">
        <f ca="1">OFFSET(INDEX(Composições!A:J,MATCH(Orçamentária!A352,Composições!A:A,0),10),2,0)</f>
        <v>19.9427515</v>
      </c>
      <c r="F352" s="159">
        <f t="shared" ca="1" si="15"/>
        <v>0</v>
      </c>
      <c r="G352" s="160" t="e">
        <f>IF(A352&lt;&gt;"",IF(AND(#REF!="Padrão",$H$4=#REF!),BDI!$B$17,IF(AND(#REF!="Padrão",$H$4=#REF!),BDI!$C$17,IF(AND(#REF!="Diferenciado",$H$4=#REF!),BDI!$G$17,IF(AND(#REF!="Diferenciado",$H$4=#REF!),BDI!$H$17,IF(#REF!="ZERO",0))))),"")</f>
        <v>#REF!</v>
      </c>
      <c r="H352" s="161" t="e">
        <f t="shared" ca="1" si="16"/>
        <v>#REF!</v>
      </c>
      <c r="I352" s="159" t="e">
        <f t="shared" ca="1" si="17"/>
        <v>#REF!</v>
      </c>
    </row>
    <row r="353" spans="1:9" hidden="1" x14ac:dyDescent="0.25">
      <c r="A353" s="102" t="s">
        <v>1320</v>
      </c>
      <c r="B353" s="103" t="s">
        <v>3094</v>
      </c>
      <c r="C353" s="104" t="s">
        <v>184</v>
      </c>
      <c r="D353" s="104">
        <v>0</v>
      </c>
      <c r="E353" s="158">
        <f ca="1">OFFSET(INDEX(Composições!A:J,MATCH(Orçamentária!A353,Composições!A:A,0),10),2,0)</f>
        <v>32.892172999999993</v>
      </c>
      <c r="F353" s="159">
        <f t="shared" ca="1" si="15"/>
        <v>0</v>
      </c>
      <c r="G353" s="160" t="e">
        <f>IF(A353&lt;&gt;"",IF(AND(#REF!="Padrão",$H$4=#REF!),BDI!$B$17,IF(AND(#REF!="Padrão",$H$4=#REF!),BDI!$C$17,IF(AND(#REF!="Diferenciado",$H$4=#REF!),BDI!$G$17,IF(AND(#REF!="Diferenciado",$H$4=#REF!),BDI!$H$17,IF(#REF!="ZERO",0))))),"")</f>
        <v>#REF!</v>
      </c>
      <c r="H353" s="161" t="e">
        <f t="shared" ca="1" si="16"/>
        <v>#REF!</v>
      </c>
      <c r="I353" s="159" t="e">
        <f t="shared" ca="1" si="17"/>
        <v>#REF!</v>
      </c>
    </row>
    <row r="354" spans="1:9" hidden="1" x14ac:dyDescent="0.25">
      <c r="A354" s="102" t="s">
        <v>1323</v>
      </c>
      <c r="B354" s="103" t="s">
        <v>3095</v>
      </c>
      <c r="C354" s="104" t="s">
        <v>184</v>
      </c>
      <c r="D354" s="104">
        <v>0</v>
      </c>
      <c r="E354" s="158">
        <f ca="1">OFFSET(INDEX(Composições!A:J,MATCH(Orçamentária!A354,Composições!A:A,0),10),2,0)</f>
        <v>1.5015168000000001</v>
      </c>
      <c r="F354" s="159">
        <f t="shared" ca="1" si="15"/>
        <v>0</v>
      </c>
      <c r="G354" s="160" t="e">
        <f>IF(A354&lt;&gt;"",IF(AND(#REF!="Padrão",$H$4=#REF!),BDI!$B$17,IF(AND(#REF!="Padrão",$H$4=#REF!),BDI!$C$17,IF(AND(#REF!="Diferenciado",$H$4=#REF!),BDI!$G$17,IF(AND(#REF!="Diferenciado",$H$4=#REF!),BDI!$H$17,IF(#REF!="ZERO",0))))),"")</f>
        <v>#REF!</v>
      </c>
      <c r="H354" s="161" t="e">
        <f t="shared" ca="1" si="16"/>
        <v>#REF!</v>
      </c>
      <c r="I354" s="159" t="e">
        <f t="shared" ca="1" si="17"/>
        <v>#REF!</v>
      </c>
    </row>
    <row r="355" spans="1:9" hidden="1" x14ac:dyDescent="0.25">
      <c r="A355" s="102" t="s">
        <v>1326</v>
      </c>
      <c r="B355" s="103" t="s">
        <v>3096</v>
      </c>
      <c r="C355" s="104" t="s">
        <v>184</v>
      </c>
      <c r="D355" s="104">
        <v>0</v>
      </c>
      <c r="E355" s="158">
        <f ca="1">OFFSET(INDEX(Composições!A:J,MATCH(Orçamentária!A355,Composições!A:A,0),10),2,0)</f>
        <v>1.5015168000000001</v>
      </c>
      <c r="F355" s="159">
        <f t="shared" ca="1" si="15"/>
        <v>0</v>
      </c>
      <c r="G355" s="160" t="e">
        <f>IF(A355&lt;&gt;"",IF(AND(#REF!="Padrão",$H$4=#REF!),BDI!$B$17,IF(AND(#REF!="Padrão",$H$4=#REF!),BDI!$C$17,IF(AND(#REF!="Diferenciado",$H$4=#REF!),BDI!$G$17,IF(AND(#REF!="Diferenciado",$H$4=#REF!),BDI!$H$17,IF(#REF!="ZERO",0))))),"")</f>
        <v>#REF!</v>
      </c>
      <c r="H355" s="161" t="e">
        <f t="shared" ca="1" si="16"/>
        <v>#REF!</v>
      </c>
      <c r="I355" s="159" t="e">
        <f t="shared" ca="1" si="17"/>
        <v>#REF!</v>
      </c>
    </row>
    <row r="356" spans="1:9" hidden="1" x14ac:dyDescent="0.25">
      <c r="A356" s="102" t="s">
        <v>1329</v>
      </c>
      <c r="B356" s="103" t="s">
        <v>3097</v>
      </c>
      <c r="C356" s="104" t="s">
        <v>184</v>
      </c>
      <c r="D356" s="104">
        <v>0</v>
      </c>
      <c r="E356" s="158">
        <f ca="1">OFFSET(INDEX(Composições!A:J,MATCH(Orçamentária!A356,Composições!A:A,0),10),2,0)</f>
        <v>1.5015168000000001</v>
      </c>
      <c r="F356" s="159">
        <f t="shared" ca="1" si="15"/>
        <v>0</v>
      </c>
      <c r="G356" s="160" t="e">
        <f>IF(A356&lt;&gt;"",IF(AND(#REF!="Padrão",$H$4=#REF!),BDI!$B$17,IF(AND(#REF!="Padrão",$H$4=#REF!),BDI!$C$17,IF(AND(#REF!="Diferenciado",$H$4=#REF!),BDI!$G$17,IF(AND(#REF!="Diferenciado",$H$4=#REF!),BDI!$H$17,IF(#REF!="ZERO",0))))),"")</f>
        <v>#REF!</v>
      </c>
      <c r="H356" s="161" t="e">
        <f t="shared" ca="1" si="16"/>
        <v>#REF!</v>
      </c>
      <c r="I356" s="198" t="e">
        <f t="shared" ca="1" si="17"/>
        <v>#REF!</v>
      </c>
    </row>
    <row r="357" spans="1:9" x14ac:dyDescent="0.25">
      <c r="A357" s="204" t="s">
        <v>3098</v>
      </c>
      <c r="B357" s="205" t="s">
        <v>3099</v>
      </c>
      <c r="C357" s="206" t="s">
        <v>189</v>
      </c>
      <c r="D357" s="206">
        <v>2.87</v>
      </c>
      <c r="E357" s="194">
        <v>686.05</v>
      </c>
      <c r="F357" s="159">
        <f t="shared" si="15"/>
        <v>1968.9634999999998</v>
      </c>
      <c r="G357" s="160">
        <f>BDI!$H$17</f>
        <v>0.16719999999999999</v>
      </c>
      <c r="H357" s="161">
        <f t="shared" si="16"/>
        <v>800.76</v>
      </c>
      <c r="I357" s="202">
        <f t="shared" si="17"/>
        <v>2298.1799999999998</v>
      </c>
    </row>
    <row r="358" spans="1:9" hidden="1" x14ac:dyDescent="0.25">
      <c r="A358" s="102" t="s">
        <v>3100</v>
      </c>
      <c r="B358" s="103" t="s">
        <v>3101</v>
      </c>
      <c r="C358" s="104" t="s">
        <v>189</v>
      </c>
      <c r="D358" s="104">
        <v>0</v>
      </c>
      <c r="E358" s="158">
        <v>474.09</v>
      </c>
      <c r="F358" s="159">
        <f t="shared" si="15"/>
        <v>0</v>
      </c>
      <c r="G358" s="160" t="e">
        <f>IF(A358&lt;&gt;"",IF(AND(#REF!="Padrão",$H$4=#REF!),BDI!$B$17,IF(AND(#REF!="Padrão",$H$4=#REF!),BDI!$C$17,IF(AND(#REF!="Diferenciado",$H$4=#REF!),BDI!$G$17,IF(AND(#REF!="Diferenciado",$H$4=#REF!),BDI!$H$17,IF(#REF!="ZERO",0))))),"")</f>
        <v>#REF!</v>
      </c>
      <c r="H358" s="161" t="e">
        <f t="shared" si="16"/>
        <v>#REF!</v>
      </c>
      <c r="I358" s="159" t="e">
        <f t="shared" si="17"/>
        <v>#REF!</v>
      </c>
    </row>
    <row r="359" spans="1:9" hidden="1" x14ac:dyDescent="0.25">
      <c r="A359" s="102" t="s">
        <v>1332</v>
      </c>
      <c r="B359" s="103" t="s">
        <v>3102</v>
      </c>
      <c r="C359" s="104" t="s">
        <v>189</v>
      </c>
      <c r="D359" s="104">
        <v>0</v>
      </c>
      <c r="E359" s="158">
        <f ca="1">OFFSET(INDEX(Composições!A:J,MATCH(Orçamentária!A359,Composições!A:A,0),10),2,0)</f>
        <v>85.718024999999997</v>
      </c>
      <c r="F359" s="159">
        <f t="shared" ca="1" si="15"/>
        <v>0</v>
      </c>
      <c r="G359" s="160" t="e">
        <f>IF(A359&lt;&gt;"",IF(AND(#REF!="Padrão",$H$4=#REF!),BDI!$B$17,IF(AND(#REF!="Padrão",$H$4=#REF!),BDI!$C$17,IF(AND(#REF!="Diferenciado",$H$4=#REF!),BDI!$G$17,IF(AND(#REF!="Diferenciado",$H$4=#REF!),BDI!$H$17,IF(#REF!="ZERO",0))))),"")</f>
        <v>#REF!</v>
      </c>
      <c r="H359" s="161" t="e">
        <f t="shared" ca="1" si="16"/>
        <v>#REF!</v>
      </c>
      <c r="I359" s="159" t="e">
        <f t="shared" ca="1" si="17"/>
        <v>#REF!</v>
      </c>
    </row>
    <row r="360" spans="1:9" hidden="1" x14ac:dyDescent="0.25">
      <c r="A360" s="102" t="s">
        <v>1335</v>
      </c>
      <c r="B360" s="103" t="s">
        <v>3103</v>
      </c>
      <c r="C360" s="104" t="s">
        <v>189</v>
      </c>
      <c r="D360" s="104">
        <v>0</v>
      </c>
      <c r="E360" s="158">
        <f ca="1">OFFSET(INDEX(Composições!A:J,MATCH(Orçamentária!A360,Composições!A:A,0),10),2,0)</f>
        <v>135.56381249999998</v>
      </c>
      <c r="F360" s="159">
        <f t="shared" ca="1" si="15"/>
        <v>0</v>
      </c>
      <c r="G360" s="160" t="e">
        <f>IF(A360&lt;&gt;"",IF(AND(#REF!="Padrão",$H$4=#REF!),BDI!$B$17,IF(AND(#REF!="Padrão",$H$4=#REF!),BDI!$C$17,IF(AND(#REF!="Diferenciado",$H$4=#REF!),BDI!$G$17,IF(AND(#REF!="Diferenciado",$H$4=#REF!),BDI!$H$17,IF(#REF!="ZERO",0))))),"")</f>
        <v>#REF!</v>
      </c>
      <c r="H360" s="161" t="e">
        <f t="shared" ca="1" si="16"/>
        <v>#REF!</v>
      </c>
      <c r="I360" s="159" t="e">
        <f t="shared" ca="1" si="17"/>
        <v>#REF!</v>
      </c>
    </row>
    <row r="361" spans="1:9" hidden="1" x14ac:dyDescent="0.25">
      <c r="A361" s="102" t="s">
        <v>1340</v>
      </c>
      <c r="B361" s="103" t="s">
        <v>3104</v>
      </c>
      <c r="C361" s="104" t="s">
        <v>32</v>
      </c>
      <c r="D361" s="104">
        <v>0</v>
      </c>
      <c r="E361" s="158">
        <f ca="1">OFFSET(INDEX(Composições!A:J,MATCH(Orçamentária!A361,Composições!A:A,0),10),2,0)</f>
        <v>35.5015</v>
      </c>
      <c r="F361" s="159">
        <f t="shared" ca="1" si="15"/>
        <v>0</v>
      </c>
      <c r="G361" s="160" t="e">
        <f>IF(A361&lt;&gt;"",IF(AND(#REF!="Padrão",$H$4=#REF!),BDI!$B$17,IF(AND(#REF!="Padrão",$H$4=#REF!),BDI!$C$17,IF(AND(#REF!="Diferenciado",$H$4=#REF!),BDI!$G$17,IF(AND(#REF!="Diferenciado",$H$4=#REF!),BDI!$H$17,IF(#REF!="ZERO",0))))),"")</f>
        <v>#REF!</v>
      </c>
      <c r="H361" s="161" t="e">
        <f t="shared" ca="1" si="16"/>
        <v>#REF!</v>
      </c>
      <c r="I361" s="159" t="e">
        <f t="shared" ca="1" si="17"/>
        <v>#REF!</v>
      </c>
    </row>
    <row r="362" spans="1:9" hidden="1" x14ac:dyDescent="0.25">
      <c r="A362" s="102" t="s">
        <v>1342</v>
      </c>
      <c r="B362" s="103" t="s">
        <v>3105</v>
      </c>
      <c r="C362" s="104" t="s">
        <v>32</v>
      </c>
      <c r="D362" s="104">
        <v>0</v>
      </c>
      <c r="E362" s="158">
        <f ca="1">OFFSET(INDEX(Composições!A:J,MATCH(Orçamentária!A362,Composições!A:A,0),10),2,0)</f>
        <v>35.5015</v>
      </c>
      <c r="F362" s="159">
        <f t="shared" ca="1" si="15"/>
        <v>0</v>
      </c>
      <c r="G362" s="160" t="e">
        <f>IF(A362&lt;&gt;"",IF(AND(#REF!="Padrão",$H$4=#REF!),BDI!$B$17,IF(AND(#REF!="Padrão",$H$4=#REF!),BDI!$C$17,IF(AND(#REF!="Diferenciado",$H$4=#REF!),BDI!$G$17,IF(AND(#REF!="Diferenciado",$H$4=#REF!),BDI!$H$17,IF(#REF!="ZERO",0))))),"")</f>
        <v>#REF!</v>
      </c>
      <c r="H362" s="161" t="e">
        <f t="shared" ca="1" si="16"/>
        <v>#REF!</v>
      </c>
      <c r="I362" s="159" t="e">
        <f t="shared" ca="1" si="17"/>
        <v>#REF!</v>
      </c>
    </row>
    <row r="363" spans="1:9" hidden="1" x14ac:dyDescent="0.25">
      <c r="A363" s="102" t="s">
        <v>1344</v>
      </c>
      <c r="B363" s="103" t="s">
        <v>3106</v>
      </c>
      <c r="C363" s="104" t="s">
        <v>32</v>
      </c>
      <c r="D363" s="104">
        <v>0</v>
      </c>
      <c r="E363" s="158">
        <f ca="1">OFFSET(INDEX(Composições!A:J,MATCH(Orçamentária!A363,Composições!A:A,0),10),2,0)</f>
        <v>35.5015</v>
      </c>
      <c r="F363" s="159">
        <f t="shared" ca="1" si="15"/>
        <v>0</v>
      </c>
      <c r="G363" s="160" t="e">
        <f>IF(A363&lt;&gt;"",IF(AND(#REF!="Padrão",$H$4=#REF!),BDI!$B$17,IF(AND(#REF!="Padrão",$H$4=#REF!),BDI!$C$17,IF(AND(#REF!="Diferenciado",$H$4=#REF!),BDI!$G$17,IF(AND(#REF!="Diferenciado",$H$4=#REF!),BDI!$H$17,IF(#REF!="ZERO",0))))),"")</f>
        <v>#REF!</v>
      </c>
      <c r="H363" s="161" t="e">
        <f t="shared" ca="1" si="16"/>
        <v>#REF!</v>
      </c>
      <c r="I363" s="198" t="e">
        <f t="shared" ca="1" si="17"/>
        <v>#REF!</v>
      </c>
    </row>
    <row r="364" spans="1:9" x14ac:dyDescent="0.25">
      <c r="A364" s="204" t="s">
        <v>1346</v>
      </c>
      <c r="B364" s="205" t="s">
        <v>3107</v>
      </c>
      <c r="C364" s="206" t="s">
        <v>32</v>
      </c>
      <c r="D364" s="206">
        <v>1</v>
      </c>
      <c r="E364" s="158">
        <f ca="1">OFFSET(INDEX(Composições!A:J,MATCH(Orçamentária!A364,Composições!A:A,0),10),2,0)</f>
        <v>300.11031417678498</v>
      </c>
      <c r="F364" s="159">
        <f t="shared" ca="1" si="15"/>
        <v>300.11031417678498</v>
      </c>
      <c r="G364" s="160">
        <f>BDI!$C$17</f>
        <v>0.24479999999999999</v>
      </c>
      <c r="H364" s="161">
        <f t="shared" ca="1" si="16"/>
        <v>373.58</v>
      </c>
      <c r="I364" s="202">
        <f t="shared" ca="1" si="17"/>
        <v>373.58</v>
      </c>
    </row>
    <row r="365" spans="1:9" hidden="1" x14ac:dyDescent="0.25">
      <c r="A365" s="102" t="s">
        <v>1353</v>
      </c>
      <c r="B365" s="103" t="s">
        <v>3108</v>
      </c>
      <c r="C365" s="104" t="s">
        <v>189</v>
      </c>
      <c r="D365" s="104">
        <v>0</v>
      </c>
      <c r="E365" s="158">
        <f ca="1">OFFSET(INDEX(Composições!A:J,MATCH(Orçamentária!A365,Composições!A:A,0),10),2,0)</f>
        <v>10.100399999999999</v>
      </c>
      <c r="F365" s="159">
        <f t="shared" ca="1" si="15"/>
        <v>0</v>
      </c>
      <c r="G365" s="160" t="e">
        <f>IF(A365&lt;&gt;"",IF(AND(#REF!="Padrão",$H$4=#REF!),BDI!$B$17,IF(AND(#REF!="Padrão",$H$4=#REF!),BDI!$C$17,IF(AND(#REF!="Diferenciado",$H$4=#REF!),BDI!$G$17,IF(AND(#REF!="Diferenciado",$H$4=#REF!),BDI!$H$17,IF(#REF!="ZERO",0))))),"")</f>
        <v>#REF!</v>
      </c>
      <c r="H365" s="161" t="e">
        <f t="shared" ca="1" si="16"/>
        <v>#REF!</v>
      </c>
      <c r="I365" s="159" t="e">
        <f t="shared" ca="1" si="17"/>
        <v>#REF!</v>
      </c>
    </row>
    <row r="366" spans="1:9" hidden="1" x14ac:dyDescent="0.25">
      <c r="A366" s="102" t="s">
        <v>1356</v>
      </c>
      <c r="B366" s="103" t="s">
        <v>3109</v>
      </c>
      <c r="C366" s="104" t="s">
        <v>32</v>
      </c>
      <c r="D366" s="104">
        <v>0</v>
      </c>
      <c r="E366" s="158">
        <f ca="1">OFFSET(INDEX(Composições!A:J,MATCH(Orçamentária!A366,Composições!A:A,0),10),2,0)</f>
        <v>273.34576099999998</v>
      </c>
      <c r="F366" s="159">
        <f t="shared" ca="1" si="15"/>
        <v>0</v>
      </c>
      <c r="G366" s="160" t="e">
        <f>IF(A366&lt;&gt;"",IF(AND(#REF!="Padrão",$H$4=#REF!),BDI!$B$17,IF(AND(#REF!="Padrão",$H$4=#REF!),BDI!$C$17,IF(AND(#REF!="Diferenciado",$H$4=#REF!),BDI!$G$17,IF(AND(#REF!="Diferenciado",$H$4=#REF!),BDI!$H$17,IF(#REF!="ZERO",0))))),"")</f>
        <v>#REF!</v>
      </c>
      <c r="H366" s="161" t="e">
        <f t="shared" ca="1" si="16"/>
        <v>#REF!</v>
      </c>
      <c r="I366" s="159" t="e">
        <f t="shared" ca="1" si="17"/>
        <v>#REF!</v>
      </c>
    </row>
    <row r="367" spans="1:9" hidden="1" x14ac:dyDescent="0.25">
      <c r="A367" s="102" t="s">
        <v>1368</v>
      </c>
      <c r="B367" s="103" t="s">
        <v>3110</v>
      </c>
      <c r="C367" s="104" t="s">
        <v>32</v>
      </c>
      <c r="D367" s="104">
        <v>0</v>
      </c>
      <c r="E367" s="158">
        <f ca="1">OFFSET(INDEX(Composições!A:J,MATCH(Orçamentária!A367,Composições!A:A,0),10),2,0)</f>
        <v>219.97654699999998</v>
      </c>
      <c r="F367" s="159">
        <f t="shared" ca="1" si="15"/>
        <v>0</v>
      </c>
      <c r="G367" s="160" t="e">
        <f>IF(A367&lt;&gt;"",IF(AND(#REF!="Padrão",$H$4=#REF!),BDI!$B$17,IF(AND(#REF!="Padrão",$H$4=#REF!),BDI!$C$17,IF(AND(#REF!="Diferenciado",$H$4=#REF!),BDI!$G$17,IF(AND(#REF!="Diferenciado",$H$4=#REF!),BDI!$H$17,IF(#REF!="ZERO",0))))),"")</f>
        <v>#REF!</v>
      </c>
      <c r="H367" s="161" t="e">
        <f t="shared" ca="1" si="16"/>
        <v>#REF!</v>
      </c>
      <c r="I367" s="159" t="e">
        <f t="shared" ca="1" si="17"/>
        <v>#REF!</v>
      </c>
    </row>
    <row r="368" spans="1:9" hidden="1" x14ac:dyDescent="0.25">
      <c r="A368" s="102" t="s">
        <v>1373</v>
      </c>
      <c r="B368" s="103" t="s">
        <v>3111</v>
      </c>
      <c r="C368" s="104" t="s">
        <v>32</v>
      </c>
      <c r="D368" s="104">
        <v>0</v>
      </c>
      <c r="E368" s="158">
        <f ca="1">OFFSET(INDEX(Composições!A:J,MATCH(Orçamentária!A368,Composições!A:A,0),10),2,0)</f>
        <v>311.928833</v>
      </c>
      <c r="F368" s="159">
        <f t="shared" ca="1" si="15"/>
        <v>0</v>
      </c>
      <c r="G368" s="160" t="e">
        <f>IF(A368&lt;&gt;"",IF(AND(#REF!="Padrão",$H$4=#REF!),BDI!$B$17,IF(AND(#REF!="Padrão",$H$4=#REF!),BDI!$C$17,IF(AND(#REF!="Diferenciado",$H$4=#REF!),BDI!$G$17,IF(AND(#REF!="Diferenciado",$H$4=#REF!),BDI!$H$17,IF(#REF!="ZERO",0))))),"")</f>
        <v>#REF!</v>
      </c>
      <c r="H368" s="161" t="e">
        <f t="shared" ca="1" si="16"/>
        <v>#REF!</v>
      </c>
      <c r="I368" s="159" t="e">
        <f t="shared" ca="1" si="17"/>
        <v>#REF!</v>
      </c>
    </row>
    <row r="369" spans="1:9" hidden="1" x14ac:dyDescent="0.25">
      <c r="A369" s="102" t="s">
        <v>1378</v>
      </c>
      <c r="B369" s="103" t="s">
        <v>3112</v>
      </c>
      <c r="C369" s="104" t="s">
        <v>32</v>
      </c>
      <c r="D369" s="104">
        <v>0</v>
      </c>
      <c r="E369" s="158">
        <f ca="1">OFFSET(INDEX(Composições!A:J,MATCH(Orçamentária!A369,Composições!A:A,0),10),2,0)</f>
        <v>297.965619</v>
      </c>
      <c r="F369" s="159">
        <f t="shared" ca="1" si="15"/>
        <v>0</v>
      </c>
      <c r="G369" s="160" t="e">
        <f>IF(A369&lt;&gt;"",IF(AND(#REF!="Padrão",$H$4=#REF!),BDI!$B$17,IF(AND(#REF!="Padrão",$H$4=#REF!),BDI!$C$17,IF(AND(#REF!="Diferenciado",$H$4=#REF!),BDI!$G$17,IF(AND(#REF!="Diferenciado",$H$4=#REF!),BDI!$H$17,IF(#REF!="ZERO",0))))),"")</f>
        <v>#REF!</v>
      </c>
      <c r="H369" s="161" t="e">
        <f t="shared" ca="1" si="16"/>
        <v>#REF!</v>
      </c>
      <c r="I369" s="159" t="e">
        <f t="shared" ca="1" si="17"/>
        <v>#REF!</v>
      </c>
    </row>
    <row r="370" spans="1:9" hidden="1" x14ac:dyDescent="0.25">
      <c r="A370" s="102" t="s">
        <v>1383</v>
      </c>
      <c r="B370" s="103" t="s">
        <v>3113</v>
      </c>
      <c r="C370" s="104" t="s">
        <v>32</v>
      </c>
      <c r="D370" s="104">
        <v>0</v>
      </c>
      <c r="E370" s="158">
        <f ca="1">OFFSET(INDEX(Composições!A:J,MATCH(Orçamentária!A370,Composições!A:A,0),10),2,0)</f>
        <v>317.04161900000003</v>
      </c>
      <c r="F370" s="159">
        <f t="shared" ca="1" si="15"/>
        <v>0</v>
      </c>
      <c r="G370" s="160" t="e">
        <f>IF(A370&lt;&gt;"",IF(AND(#REF!="Padrão",$H$4=#REF!),BDI!$B$17,IF(AND(#REF!="Padrão",$H$4=#REF!),BDI!$C$17,IF(AND(#REF!="Diferenciado",$H$4=#REF!),BDI!$G$17,IF(AND(#REF!="Diferenciado",$H$4=#REF!),BDI!$H$17,IF(#REF!="ZERO",0))))),"")</f>
        <v>#REF!</v>
      </c>
      <c r="H370" s="161" t="e">
        <f t="shared" ca="1" si="16"/>
        <v>#REF!</v>
      </c>
      <c r="I370" s="159" t="e">
        <f t="shared" ca="1" si="17"/>
        <v>#REF!</v>
      </c>
    </row>
    <row r="371" spans="1:9" hidden="1" x14ac:dyDescent="0.25">
      <c r="A371" s="102" t="s">
        <v>1386</v>
      </c>
      <c r="B371" s="103" t="s">
        <v>3114</v>
      </c>
      <c r="C371" s="104" t="s">
        <v>32</v>
      </c>
      <c r="D371" s="104">
        <v>0</v>
      </c>
      <c r="E371" s="158">
        <f ca="1">OFFSET(INDEX(Composições!A:J,MATCH(Orçamentária!A371,Composições!A:A,0),10),2,0)</f>
        <v>63.265700176784989</v>
      </c>
      <c r="F371" s="159">
        <f t="shared" ca="1" si="15"/>
        <v>0</v>
      </c>
      <c r="G371" s="160" t="e">
        <f>IF(A371&lt;&gt;"",IF(AND(#REF!="Padrão",$H$4=#REF!),BDI!$B$17,IF(AND(#REF!="Padrão",$H$4=#REF!),BDI!$C$17,IF(AND(#REF!="Diferenciado",$H$4=#REF!),BDI!$G$17,IF(AND(#REF!="Diferenciado",$H$4=#REF!),BDI!$H$17,IF(#REF!="ZERO",0))))),"")</f>
        <v>#REF!</v>
      </c>
      <c r="H371" s="161" t="e">
        <f t="shared" ca="1" si="16"/>
        <v>#REF!</v>
      </c>
      <c r="I371" s="159" t="e">
        <f t="shared" ca="1" si="17"/>
        <v>#REF!</v>
      </c>
    </row>
    <row r="372" spans="1:9" hidden="1" x14ac:dyDescent="0.25">
      <c r="A372" s="102" t="s">
        <v>1387</v>
      </c>
      <c r="B372" s="103" t="s">
        <v>3115</v>
      </c>
      <c r="C372" s="104" t="s">
        <v>32</v>
      </c>
      <c r="D372" s="104">
        <v>0</v>
      </c>
      <c r="E372" s="158">
        <f ca="1">OFFSET(INDEX(Composições!A:J,MATCH(Orçamentária!A372,Composições!A:A,0),10),2,0)</f>
        <v>51.721809499999992</v>
      </c>
      <c r="F372" s="159">
        <f t="shared" ca="1" si="15"/>
        <v>0</v>
      </c>
      <c r="G372" s="160" t="e">
        <f>IF(A372&lt;&gt;"",IF(AND(#REF!="Padrão",$H$4=#REF!),BDI!$B$17,IF(AND(#REF!="Padrão",$H$4=#REF!),BDI!$C$17,IF(AND(#REF!="Diferenciado",$H$4=#REF!),BDI!$G$17,IF(AND(#REF!="Diferenciado",$H$4=#REF!),BDI!$H$17,IF(#REF!="ZERO",0))))),"")</f>
        <v>#REF!</v>
      </c>
      <c r="H372" s="161" t="e">
        <f t="shared" ca="1" si="16"/>
        <v>#REF!</v>
      </c>
      <c r="I372" s="198" t="e">
        <f t="shared" ca="1" si="17"/>
        <v>#REF!</v>
      </c>
    </row>
    <row r="373" spans="1:9" x14ac:dyDescent="0.25">
      <c r="A373" s="204" t="s">
        <v>1390</v>
      </c>
      <c r="B373" s="205" t="s">
        <v>3116</v>
      </c>
      <c r="C373" s="206" t="s">
        <v>32</v>
      </c>
      <c r="D373" s="206">
        <v>9</v>
      </c>
      <c r="E373" s="158">
        <f ca="1">OFFSET(INDEX(Composições!A:J,MATCH(Orçamentária!A373,Composições!A:A,0),10),2,0)</f>
        <v>42.771318000000001</v>
      </c>
      <c r="F373" s="159">
        <f t="shared" ca="1" si="15"/>
        <v>384.94186200000001</v>
      </c>
      <c r="G373" s="160">
        <f>BDI!$C$17</f>
        <v>0.24479999999999999</v>
      </c>
      <c r="H373" s="161">
        <f t="shared" ca="1" si="16"/>
        <v>53.24</v>
      </c>
      <c r="I373" s="202">
        <f t="shared" ca="1" si="17"/>
        <v>479.16</v>
      </c>
    </row>
    <row r="374" spans="1:9" hidden="1" x14ac:dyDescent="0.25">
      <c r="A374" s="102" t="s">
        <v>1393</v>
      </c>
      <c r="B374" s="103" t="s">
        <v>3117</v>
      </c>
      <c r="C374" s="104" t="s">
        <v>32</v>
      </c>
      <c r="D374" s="104">
        <v>0</v>
      </c>
      <c r="E374" s="158">
        <f ca="1">OFFSET(INDEX(Composições!A:J,MATCH(Orçamentária!A374,Composições!A:A,0),10),2,0)</f>
        <v>20.110616499999999</v>
      </c>
      <c r="F374" s="159">
        <f t="shared" ca="1" si="15"/>
        <v>0</v>
      </c>
      <c r="G374" s="160" t="e">
        <f>IF(A374&lt;&gt;"",IF(AND(#REF!="Padrão",$H$4=#REF!),BDI!$B$17,IF(AND(#REF!="Padrão",$H$4=#REF!),BDI!$C$17,IF(AND(#REF!="Diferenciado",$H$4=#REF!),BDI!$G$17,IF(AND(#REF!="Diferenciado",$H$4=#REF!),BDI!$H$17,IF(#REF!="ZERO",0))))),"")</f>
        <v>#REF!</v>
      </c>
      <c r="H374" s="161" t="e">
        <f t="shared" ca="1" si="16"/>
        <v>#REF!</v>
      </c>
      <c r="I374" s="198" t="e">
        <f t="shared" ca="1" si="17"/>
        <v>#REF!</v>
      </c>
    </row>
    <row r="375" spans="1:9" x14ac:dyDescent="0.25">
      <c r="A375" s="204" t="s">
        <v>1397</v>
      </c>
      <c r="B375" s="205" t="s">
        <v>3118</v>
      </c>
      <c r="C375" s="206" t="s">
        <v>32</v>
      </c>
      <c r="D375" s="206">
        <v>2</v>
      </c>
      <c r="E375" s="158">
        <f ca="1">OFFSET(INDEX(Composições!A:J,MATCH(Orçamentária!A375,Composições!A:A,0),10),2,0)</f>
        <v>155.93292099999996</v>
      </c>
      <c r="F375" s="159">
        <f t="shared" ca="1" si="15"/>
        <v>311.86584199999993</v>
      </c>
      <c r="G375" s="160">
        <f>BDI!$C$17</f>
        <v>0.24479999999999999</v>
      </c>
      <c r="H375" s="161">
        <f t="shared" ca="1" si="16"/>
        <v>194.11</v>
      </c>
      <c r="I375" s="202">
        <f t="shared" ca="1" si="17"/>
        <v>388.22</v>
      </c>
    </row>
    <row r="376" spans="1:9" hidden="1" x14ac:dyDescent="0.25">
      <c r="A376" s="102" t="s">
        <v>1399</v>
      </c>
      <c r="B376" s="103" t="s">
        <v>3119</v>
      </c>
      <c r="C376" s="104" t="s">
        <v>32</v>
      </c>
      <c r="D376" s="104">
        <v>0</v>
      </c>
      <c r="E376" s="158">
        <f ca="1">OFFSET(INDEX(Composições!A:J,MATCH(Orçamentária!A376,Composições!A:A,0),10),2,0)</f>
        <v>26.262920999999999</v>
      </c>
      <c r="F376" s="159">
        <f t="shared" ca="1" si="15"/>
        <v>0</v>
      </c>
      <c r="G376" s="160" t="e">
        <f>IF(A376&lt;&gt;"",IF(AND(#REF!="Padrão",$H$4=#REF!),BDI!$B$17,IF(AND(#REF!="Padrão",$H$4=#REF!),BDI!$C$17,IF(AND(#REF!="Diferenciado",$H$4=#REF!),BDI!$G$17,IF(AND(#REF!="Diferenciado",$H$4=#REF!),BDI!$H$17,IF(#REF!="ZERO",0))))),"")</f>
        <v>#REF!</v>
      </c>
      <c r="H376" s="161" t="e">
        <f t="shared" ca="1" si="16"/>
        <v>#REF!</v>
      </c>
      <c r="I376" s="159" t="e">
        <f t="shared" ca="1" si="17"/>
        <v>#REF!</v>
      </c>
    </row>
    <row r="377" spans="1:9" hidden="1" x14ac:dyDescent="0.25">
      <c r="A377" s="102" t="s">
        <v>1402</v>
      </c>
      <c r="B377" s="103" t="s">
        <v>3120</v>
      </c>
      <c r="C377" s="104" t="s">
        <v>32</v>
      </c>
      <c r="D377" s="104">
        <v>0</v>
      </c>
      <c r="E377" s="158">
        <f ca="1">OFFSET(INDEX(Composições!A:J,MATCH(Orçamentária!A377,Composições!A:A,0),10),2,0)</f>
        <v>26.262920999999999</v>
      </c>
      <c r="F377" s="159">
        <f t="shared" ca="1" si="15"/>
        <v>0</v>
      </c>
      <c r="G377" s="160" t="e">
        <f>IF(A377&lt;&gt;"",IF(AND(#REF!="Padrão",$H$4=#REF!),BDI!$B$17,IF(AND(#REF!="Padrão",$H$4=#REF!),BDI!$C$17,IF(AND(#REF!="Diferenciado",$H$4=#REF!),BDI!$G$17,IF(AND(#REF!="Diferenciado",$H$4=#REF!),BDI!$H$17,IF(#REF!="ZERO",0))))),"")</f>
        <v>#REF!</v>
      </c>
      <c r="H377" s="161" t="e">
        <f t="shared" ca="1" si="16"/>
        <v>#REF!</v>
      </c>
      <c r="I377" s="198" t="e">
        <f t="shared" ca="1" si="17"/>
        <v>#REF!</v>
      </c>
    </row>
    <row r="378" spans="1:9" x14ac:dyDescent="0.25">
      <c r="A378" s="204" t="s">
        <v>1403</v>
      </c>
      <c r="B378" s="205" t="s">
        <v>3121</v>
      </c>
      <c r="C378" s="206" t="s">
        <v>32</v>
      </c>
      <c r="D378" s="206">
        <v>3</v>
      </c>
      <c r="E378" s="158">
        <f ca="1">OFFSET(INDEX(Composições!A:J,MATCH(Orçamentária!A378,Composições!A:A,0),10),2,0)</f>
        <v>151.38200000000001</v>
      </c>
      <c r="F378" s="159">
        <f t="shared" ca="1" si="15"/>
        <v>454.14600000000002</v>
      </c>
      <c r="G378" s="160">
        <f>BDI!$C$17</f>
        <v>0.24479999999999999</v>
      </c>
      <c r="H378" s="161">
        <f t="shared" ca="1" si="16"/>
        <v>188.44</v>
      </c>
      <c r="I378" s="202">
        <f t="shared" ca="1" si="17"/>
        <v>565.32000000000005</v>
      </c>
    </row>
    <row r="379" spans="1:9" hidden="1" x14ac:dyDescent="0.25">
      <c r="A379" s="102" t="s">
        <v>1406</v>
      </c>
      <c r="B379" s="103" t="s">
        <v>3122</v>
      </c>
      <c r="C379" s="104" t="s">
        <v>32</v>
      </c>
      <c r="D379" s="104">
        <v>0</v>
      </c>
      <c r="E379" s="158">
        <f ca="1">OFFSET(INDEX(Composições!A:J,MATCH(Orçamentária!A379,Composições!A:A,0),10),2,0)</f>
        <v>9.6709999999999994</v>
      </c>
      <c r="F379" s="159">
        <f t="shared" ca="1" si="15"/>
        <v>0</v>
      </c>
      <c r="G379" s="160" t="e">
        <f>IF(A379&lt;&gt;"",IF(AND(#REF!="Padrão",$H$4=#REF!),BDI!$B$17,IF(AND(#REF!="Padrão",$H$4=#REF!),BDI!$C$17,IF(AND(#REF!="Diferenciado",$H$4=#REF!),BDI!$G$17,IF(AND(#REF!="Diferenciado",$H$4=#REF!),BDI!$H$17,IF(#REF!="ZERO",0))))),"")</f>
        <v>#REF!</v>
      </c>
      <c r="H379" s="161" t="e">
        <f t="shared" ca="1" si="16"/>
        <v>#REF!</v>
      </c>
      <c r="I379" s="198" t="e">
        <f t="shared" ca="1" si="17"/>
        <v>#REF!</v>
      </c>
    </row>
    <row r="380" spans="1:9" x14ac:dyDescent="0.25">
      <c r="A380" s="204" t="s">
        <v>1408</v>
      </c>
      <c r="B380" s="205" t="s">
        <v>3123</v>
      </c>
      <c r="C380" s="206" t="s">
        <v>184</v>
      </c>
      <c r="D380" s="206">
        <v>40</v>
      </c>
      <c r="E380" s="158">
        <f ca="1">OFFSET(INDEX(Composições!A:J,MATCH(Orçamentária!A380,Composições!A:A,0),10),2,0)</f>
        <v>4.013191</v>
      </c>
      <c r="F380" s="159">
        <f t="shared" ca="1" si="15"/>
        <v>160.52763999999999</v>
      </c>
      <c r="G380" s="160">
        <f>BDI!$C$17</f>
        <v>0.24479999999999999</v>
      </c>
      <c r="H380" s="161">
        <f t="shared" ca="1" si="16"/>
        <v>5</v>
      </c>
      <c r="I380" s="202">
        <f t="shared" ca="1" si="17"/>
        <v>200</v>
      </c>
    </row>
    <row r="381" spans="1:9" x14ac:dyDescent="0.25">
      <c r="A381" s="204" t="s">
        <v>1412</v>
      </c>
      <c r="B381" s="205" t="s">
        <v>3124</v>
      </c>
      <c r="C381" s="206" t="s">
        <v>32</v>
      </c>
      <c r="D381" s="206">
        <v>1</v>
      </c>
      <c r="E381" s="158">
        <f ca="1">OFFSET(INDEX(Composições!A:J,MATCH(Orçamentária!A381,Composições!A:A,0),10),2,0)</f>
        <v>281.77120299999996</v>
      </c>
      <c r="F381" s="159">
        <f t="shared" ca="1" si="15"/>
        <v>281.77120299999996</v>
      </c>
      <c r="G381" s="160">
        <f>BDI!$C$17</f>
        <v>0.24479999999999999</v>
      </c>
      <c r="H381" s="161">
        <f t="shared" ca="1" si="16"/>
        <v>350.75</v>
      </c>
      <c r="I381" s="199">
        <f t="shared" ca="1" si="17"/>
        <v>350.75</v>
      </c>
    </row>
    <row r="382" spans="1:9" hidden="1" x14ac:dyDescent="0.25">
      <c r="A382" s="102" t="s">
        <v>1417</v>
      </c>
      <c r="B382" s="103" t="s">
        <v>3125</v>
      </c>
      <c r="C382" s="104" t="s">
        <v>32</v>
      </c>
      <c r="D382" s="104">
        <v>0</v>
      </c>
      <c r="E382" s="158">
        <f ca="1">OFFSET(INDEX(Composições!A:J,MATCH(Orçamentária!A382,Composições!A:A,0),10),2,0)</f>
        <v>807.16567274999989</v>
      </c>
      <c r="F382" s="159">
        <f t="shared" ca="1" si="15"/>
        <v>0</v>
      </c>
      <c r="G382" s="160" t="e">
        <f>IF(A382&lt;&gt;"",IF(AND(#REF!="Padrão",$H$4=#REF!),BDI!$B$17,IF(AND(#REF!="Padrão",$H$4=#REF!),BDI!$C$17,IF(AND(#REF!="Diferenciado",$H$4=#REF!),BDI!$G$17,IF(AND(#REF!="Diferenciado",$H$4=#REF!),BDI!$H$17,IF(#REF!="ZERO",0))))),"")</f>
        <v>#REF!</v>
      </c>
      <c r="H382" s="161" t="e">
        <f t="shared" ca="1" si="16"/>
        <v>#REF!</v>
      </c>
      <c r="I382" s="198" t="e">
        <f t="shared" ca="1" si="17"/>
        <v>#REF!</v>
      </c>
    </row>
    <row r="383" spans="1:9" x14ac:dyDescent="0.25">
      <c r="A383" s="204" t="s">
        <v>1421</v>
      </c>
      <c r="B383" s="205" t="s">
        <v>3126</v>
      </c>
      <c r="C383" s="206" t="s">
        <v>184</v>
      </c>
      <c r="D383" s="206">
        <v>167</v>
      </c>
      <c r="E383" s="158">
        <f ca="1">OFFSET(INDEX(Composições!A:J,MATCH(Orçamentária!A383,Composições!A:A,0),10),2,0)</f>
        <v>3.2509332500000001</v>
      </c>
      <c r="F383" s="159">
        <f t="shared" ca="1" si="15"/>
        <v>542.90585275000001</v>
      </c>
      <c r="G383" s="160">
        <f>BDI!$C$17</f>
        <v>0.24479999999999999</v>
      </c>
      <c r="H383" s="161">
        <f t="shared" ca="1" si="16"/>
        <v>4.05</v>
      </c>
      <c r="I383" s="202">
        <f t="shared" ca="1" si="17"/>
        <v>676.35</v>
      </c>
    </row>
    <row r="384" spans="1:9" x14ac:dyDescent="0.25">
      <c r="A384" s="204" t="s">
        <v>1426</v>
      </c>
      <c r="B384" s="205" t="s">
        <v>3127</v>
      </c>
      <c r="C384" s="206" t="s">
        <v>32</v>
      </c>
      <c r="D384" s="206">
        <v>2</v>
      </c>
      <c r="E384" s="158">
        <f ca="1">OFFSET(INDEX(Composições!A:J,MATCH(Orçamentária!A384,Composições!A:A,0),10),2,0)</f>
        <v>274.08160149999998</v>
      </c>
      <c r="F384" s="159">
        <f t="shared" ca="1" si="15"/>
        <v>548.16320299999995</v>
      </c>
      <c r="G384" s="160">
        <f>BDI!$C$17</f>
        <v>0.24479999999999999</v>
      </c>
      <c r="H384" s="161">
        <f t="shared" ca="1" si="16"/>
        <v>341.18</v>
      </c>
      <c r="I384" s="199">
        <f t="shared" ca="1" si="17"/>
        <v>682.36</v>
      </c>
    </row>
    <row r="385" spans="1:9" hidden="1" x14ac:dyDescent="0.25">
      <c r="A385" s="102" t="s">
        <v>1431</v>
      </c>
      <c r="B385" s="103" t="s">
        <v>3128</v>
      </c>
      <c r="C385" s="104" t="s">
        <v>32</v>
      </c>
      <c r="D385" s="104">
        <v>0</v>
      </c>
      <c r="E385" s="158">
        <f ca="1">OFFSET(INDEX(Composições!A:J,MATCH(Orçamentária!A385,Composições!A:A,0),10),2,0)</f>
        <v>123.39075</v>
      </c>
      <c r="F385" s="159">
        <f t="shared" ca="1" si="15"/>
        <v>0</v>
      </c>
      <c r="G385" s="160" t="e">
        <f>IF(A385&lt;&gt;"",IF(AND(#REF!="Padrão",$H$4=#REF!),BDI!$B$17,IF(AND(#REF!="Padrão",$H$4=#REF!),BDI!$C$17,IF(AND(#REF!="Diferenciado",$H$4=#REF!),BDI!$G$17,IF(AND(#REF!="Diferenciado",$H$4=#REF!),BDI!$H$17,IF(#REF!="ZERO",0))))),"")</f>
        <v>#REF!</v>
      </c>
      <c r="H385" s="161" t="e">
        <f t="shared" ca="1" si="16"/>
        <v>#REF!</v>
      </c>
      <c r="I385" s="159" t="e">
        <f t="shared" ca="1" si="17"/>
        <v>#REF!</v>
      </c>
    </row>
    <row r="386" spans="1:9" hidden="1" x14ac:dyDescent="0.25">
      <c r="A386" s="102" t="s">
        <v>3129</v>
      </c>
      <c r="B386" s="103" t="s">
        <v>3130</v>
      </c>
      <c r="C386" s="104" t="s">
        <v>75</v>
      </c>
      <c r="D386" s="104">
        <v>0</v>
      </c>
      <c r="E386" s="158" t="s">
        <v>1079</v>
      </c>
      <c r="F386" s="159" t="str">
        <f t="shared" si="15"/>
        <v/>
      </c>
      <c r="G386" s="160" t="e">
        <f>IF(A386&lt;&gt;"",IF(AND(#REF!="Padrão",$H$4=#REF!),BDI!$B$17,IF(AND(#REF!="Padrão",$H$4=#REF!),BDI!$C$17,IF(AND(#REF!="Diferenciado",$H$4=#REF!),BDI!$G$17,IF(AND(#REF!="Diferenciado",$H$4=#REF!),BDI!$H$17,IF(#REF!="ZERO",0))))),"")</f>
        <v>#REF!</v>
      </c>
      <c r="H386" s="161" t="str">
        <f t="shared" si="16"/>
        <v/>
      </c>
      <c r="I386" s="159" t="str">
        <f t="shared" si="17"/>
        <v/>
      </c>
    </row>
    <row r="387" spans="1:9" hidden="1" x14ac:dyDescent="0.25">
      <c r="A387" s="102" t="s">
        <v>3131</v>
      </c>
      <c r="B387" s="103" t="s">
        <v>3132</v>
      </c>
      <c r="C387" s="104" t="s">
        <v>3133</v>
      </c>
      <c r="D387" s="104">
        <v>0</v>
      </c>
      <c r="E387" s="158" t="s">
        <v>1079</v>
      </c>
      <c r="F387" s="159" t="str">
        <f t="shared" si="15"/>
        <v/>
      </c>
      <c r="G387" s="160" t="e">
        <f>IF(A387&lt;&gt;"",IF(AND(#REF!="Padrão",$H$4=#REF!),BDI!$B$17,IF(AND(#REF!="Padrão",$H$4=#REF!),BDI!$C$17,IF(AND(#REF!="Diferenciado",$H$4=#REF!),BDI!$G$17,IF(AND(#REF!="Diferenciado",$H$4=#REF!),BDI!$H$17,IF(#REF!="ZERO",0))))),"")</f>
        <v>#REF!</v>
      </c>
      <c r="H387" s="161" t="str">
        <f t="shared" si="16"/>
        <v/>
      </c>
      <c r="I387" s="159" t="str">
        <f t="shared" si="17"/>
        <v/>
      </c>
    </row>
    <row r="388" spans="1:9" hidden="1" x14ac:dyDescent="0.25">
      <c r="A388" s="102" t="s">
        <v>3134</v>
      </c>
      <c r="B388" s="103" t="s">
        <v>3135</v>
      </c>
      <c r="C388" s="104" t="s">
        <v>3136</v>
      </c>
      <c r="D388" s="104">
        <v>0</v>
      </c>
      <c r="E388" s="158" t="s">
        <v>1079</v>
      </c>
      <c r="F388" s="159" t="str">
        <f t="shared" si="15"/>
        <v/>
      </c>
      <c r="G388" s="160" t="e">
        <f>IF(A388&lt;&gt;"",IF(AND(#REF!="Padrão",$H$4=#REF!),BDI!$B$17,IF(AND(#REF!="Padrão",$H$4=#REF!),BDI!$C$17,IF(AND(#REF!="Diferenciado",$H$4=#REF!),BDI!$G$17,IF(AND(#REF!="Diferenciado",$H$4=#REF!),BDI!$H$17,IF(#REF!="ZERO",0))))),"")</f>
        <v>#REF!</v>
      </c>
      <c r="H388" s="161" t="str">
        <f t="shared" si="16"/>
        <v/>
      </c>
      <c r="I388" s="159" t="str">
        <f t="shared" si="17"/>
        <v/>
      </c>
    </row>
    <row r="389" spans="1:9" hidden="1" x14ac:dyDescent="0.25">
      <c r="A389" s="102" t="s">
        <v>3137</v>
      </c>
      <c r="B389" s="103" t="s">
        <v>3138</v>
      </c>
      <c r="C389" s="104" t="s">
        <v>75</v>
      </c>
      <c r="D389" s="104">
        <v>0</v>
      </c>
      <c r="E389" s="158" t="s">
        <v>1079</v>
      </c>
      <c r="F389" s="159" t="str">
        <f t="shared" si="15"/>
        <v/>
      </c>
      <c r="G389" s="160" t="e">
        <f>IF(A389&lt;&gt;"",IF(AND(#REF!="Padrão",$H$4=#REF!),BDI!$B$17,IF(AND(#REF!="Padrão",$H$4=#REF!),BDI!$C$17,IF(AND(#REF!="Diferenciado",$H$4=#REF!),BDI!$G$17,IF(AND(#REF!="Diferenciado",$H$4=#REF!),BDI!$H$17,IF(#REF!="ZERO",0))))),"")</f>
        <v>#REF!</v>
      </c>
      <c r="H389" s="161" t="str">
        <f t="shared" si="16"/>
        <v/>
      </c>
      <c r="I389" s="159" t="str">
        <f t="shared" si="17"/>
        <v/>
      </c>
    </row>
    <row r="390" spans="1:9" hidden="1" x14ac:dyDescent="0.25">
      <c r="A390" s="102" t="s">
        <v>3139</v>
      </c>
      <c r="B390" s="103" t="s">
        <v>3140</v>
      </c>
      <c r="C390" s="104" t="s">
        <v>75</v>
      </c>
      <c r="D390" s="104">
        <v>0</v>
      </c>
      <c r="E390" s="158" t="s">
        <v>1079</v>
      </c>
      <c r="F390" s="159" t="str">
        <f t="shared" si="15"/>
        <v/>
      </c>
      <c r="G390" s="160" t="e">
        <f>IF(A390&lt;&gt;"",IF(AND(#REF!="Padrão",$H$4=#REF!),BDI!$B$17,IF(AND(#REF!="Padrão",$H$4=#REF!),BDI!$C$17,IF(AND(#REF!="Diferenciado",$H$4=#REF!),BDI!$G$17,IF(AND(#REF!="Diferenciado",$H$4=#REF!),BDI!$H$17,IF(#REF!="ZERO",0))))),"")</f>
        <v>#REF!</v>
      </c>
      <c r="H390" s="161" t="str">
        <f t="shared" si="16"/>
        <v/>
      </c>
      <c r="I390" s="159" t="str">
        <f t="shared" si="17"/>
        <v/>
      </c>
    </row>
    <row r="391" spans="1:9" hidden="1" x14ac:dyDescent="0.25">
      <c r="A391" s="102" t="s">
        <v>3141</v>
      </c>
      <c r="B391" s="103" t="s">
        <v>3142</v>
      </c>
      <c r="C391" s="104" t="s">
        <v>3143</v>
      </c>
      <c r="D391" s="104">
        <v>0</v>
      </c>
      <c r="E391" s="158" t="s">
        <v>1079</v>
      </c>
      <c r="F391" s="159" t="str">
        <f t="shared" ref="F391:F454" si="18">IF(ISNUMBER(E391),D391*E391,"")</f>
        <v/>
      </c>
      <c r="G391" s="160" t="e">
        <f>IF(A391&lt;&gt;"",IF(AND(#REF!="Padrão",$H$4=#REF!),BDI!$B$17,IF(AND(#REF!="Padrão",$H$4=#REF!),BDI!$C$17,IF(AND(#REF!="Diferenciado",$H$4=#REF!),BDI!$G$17,IF(AND(#REF!="Diferenciado",$H$4=#REF!),BDI!$H$17,IF(#REF!="ZERO",0))))),"")</f>
        <v>#REF!</v>
      </c>
      <c r="H391" s="161" t="str">
        <f t="shared" ref="H391:H454" si="19">IF(ISNUMBER(E391),ROUND(E391*(1+G391),2),"")</f>
        <v/>
      </c>
      <c r="I391" s="159" t="str">
        <f t="shared" ref="I391:I454" si="20">IF(ISNUMBER(E391),ROUND(H391*D391,2),"")</f>
        <v/>
      </c>
    </row>
    <row r="392" spans="1:9" hidden="1" x14ac:dyDescent="0.25">
      <c r="A392" s="102" t="s">
        <v>3144</v>
      </c>
      <c r="B392" s="103" t="s">
        <v>3145</v>
      </c>
      <c r="C392" s="104" t="s">
        <v>3133</v>
      </c>
      <c r="D392" s="104">
        <v>0</v>
      </c>
      <c r="E392" s="158" t="s">
        <v>1079</v>
      </c>
      <c r="F392" s="159" t="str">
        <f t="shared" si="18"/>
        <v/>
      </c>
      <c r="G392" s="160" t="e">
        <f>IF(A392&lt;&gt;"",IF(AND(#REF!="Padrão",$H$4=#REF!),BDI!$B$17,IF(AND(#REF!="Padrão",$H$4=#REF!),BDI!$C$17,IF(AND(#REF!="Diferenciado",$H$4=#REF!),BDI!$G$17,IF(AND(#REF!="Diferenciado",$H$4=#REF!),BDI!$H$17,IF(#REF!="ZERO",0))))),"")</f>
        <v>#REF!</v>
      </c>
      <c r="H392" s="161" t="str">
        <f t="shared" si="19"/>
        <v/>
      </c>
      <c r="I392" s="159" t="str">
        <f t="shared" si="20"/>
        <v/>
      </c>
    </row>
    <row r="393" spans="1:9" hidden="1" x14ac:dyDescent="0.25">
      <c r="A393" s="102" t="s">
        <v>3146</v>
      </c>
      <c r="B393" s="103" t="s">
        <v>3147</v>
      </c>
      <c r="C393" s="104" t="s">
        <v>1511</v>
      </c>
      <c r="D393" s="104">
        <v>0</v>
      </c>
      <c r="E393" s="158" t="s">
        <v>1079</v>
      </c>
      <c r="F393" s="159" t="str">
        <f t="shared" si="18"/>
        <v/>
      </c>
      <c r="G393" s="160" t="e">
        <f>IF(A393&lt;&gt;"",IF(AND(#REF!="Padrão",$H$4=#REF!),BDI!$B$17,IF(AND(#REF!="Padrão",$H$4=#REF!),BDI!$C$17,IF(AND(#REF!="Diferenciado",$H$4=#REF!),BDI!$G$17,IF(AND(#REF!="Diferenciado",$H$4=#REF!),BDI!$H$17,IF(#REF!="ZERO",0))))),"")</f>
        <v>#REF!</v>
      </c>
      <c r="H393" s="161" t="str">
        <f t="shared" si="19"/>
        <v/>
      </c>
      <c r="I393" s="159" t="str">
        <f t="shared" si="20"/>
        <v/>
      </c>
    </row>
    <row r="394" spans="1:9" hidden="1" x14ac:dyDescent="0.25">
      <c r="A394" s="102" t="s">
        <v>3148</v>
      </c>
      <c r="B394" s="103" t="s">
        <v>3149</v>
      </c>
      <c r="C394" s="104" t="s">
        <v>75</v>
      </c>
      <c r="D394" s="104">
        <v>0</v>
      </c>
      <c r="E394" s="158" t="s">
        <v>1079</v>
      </c>
      <c r="F394" s="159" t="str">
        <f t="shared" si="18"/>
        <v/>
      </c>
      <c r="G394" s="160" t="e">
        <f>IF(A394&lt;&gt;"",IF(AND(#REF!="Padrão",$H$4=#REF!),BDI!$B$17,IF(AND(#REF!="Padrão",$H$4=#REF!),BDI!$C$17,IF(AND(#REF!="Diferenciado",$H$4=#REF!),BDI!$G$17,IF(AND(#REF!="Diferenciado",$H$4=#REF!),BDI!$H$17,IF(#REF!="ZERO",0))))),"")</f>
        <v>#REF!</v>
      </c>
      <c r="H394" s="161" t="str">
        <f t="shared" si="19"/>
        <v/>
      </c>
      <c r="I394" s="159" t="str">
        <f t="shared" si="20"/>
        <v/>
      </c>
    </row>
    <row r="395" spans="1:9" hidden="1" x14ac:dyDescent="0.25">
      <c r="A395" s="102" t="s">
        <v>3150</v>
      </c>
      <c r="B395" s="103" t="s">
        <v>3151</v>
      </c>
      <c r="C395" s="104" t="s">
        <v>184</v>
      </c>
      <c r="D395" s="104">
        <v>0</v>
      </c>
      <c r="E395" s="158" t="s">
        <v>1079</v>
      </c>
      <c r="F395" s="159" t="str">
        <f t="shared" si="18"/>
        <v/>
      </c>
      <c r="G395" s="160" t="e">
        <f>IF(A395&lt;&gt;"",IF(AND(#REF!="Padrão",$H$4=#REF!),BDI!$B$17,IF(AND(#REF!="Padrão",$H$4=#REF!),BDI!$C$17,IF(AND(#REF!="Diferenciado",$H$4=#REF!),BDI!$G$17,IF(AND(#REF!="Diferenciado",$H$4=#REF!),BDI!$H$17,IF(#REF!="ZERO",0))))),"")</f>
        <v>#REF!</v>
      </c>
      <c r="H395" s="161" t="str">
        <f t="shared" si="19"/>
        <v/>
      </c>
      <c r="I395" s="159" t="str">
        <f t="shared" si="20"/>
        <v/>
      </c>
    </row>
    <row r="396" spans="1:9" hidden="1" x14ac:dyDescent="0.25">
      <c r="A396" s="102" t="s">
        <v>3152</v>
      </c>
      <c r="B396" s="103" t="s">
        <v>3153</v>
      </c>
      <c r="C396" s="104" t="s">
        <v>184</v>
      </c>
      <c r="D396" s="104">
        <v>0</v>
      </c>
      <c r="E396" s="158" t="s">
        <v>1079</v>
      </c>
      <c r="F396" s="159" t="str">
        <f t="shared" si="18"/>
        <v/>
      </c>
      <c r="G396" s="160" t="e">
        <f>IF(A396&lt;&gt;"",IF(AND(#REF!="Padrão",$H$4=#REF!),BDI!$B$17,IF(AND(#REF!="Padrão",$H$4=#REF!),BDI!$C$17,IF(AND(#REF!="Diferenciado",$H$4=#REF!),BDI!$G$17,IF(AND(#REF!="Diferenciado",$H$4=#REF!),BDI!$H$17,IF(#REF!="ZERO",0))))),"")</f>
        <v>#REF!</v>
      </c>
      <c r="H396" s="161" t="str">
        <f t="shared" si="19"/>
        <v/>
      </c>
      <c r="I396" s="159" t="str">
        <f t="shared" si="20"/>
        <v/>
      </c>
    </row>
    <row r="397" spans="1:9" hidden="1" x14ac:dyDescent="0.25">
      <c r="A397" s="102" t="s">
        <v>3154</v>
      </c>
      <c r="B397" s="103" t="s">
        <v>3155</v>
      </c>
      <c r="C397" s="104" t="s">
        <v>184</v>
      </c>
      <c r="D397" s="104">
        <v>0</v>
      </c>
      <c r="E397" s="158" t="s">
        <v>1079</v>
      </c>
      <c r="F397" s="159" t="str">
        <f t="shared" si="18"/>
        <v/>
      </c>
      <c r="G397" s="160" t="e">
        <f>IF(A397&lt;&gt;"",IF(AND(#REF!="Padrão",$H$4=#REF!),BDI!$B$17,IF(AND(#REF!="Padrão",$H$4=#REF!),BDI!$C$17,IF(AND(#REF!="Diferenciado",$H$4=#REF!),BDI!$G$17,IF(AND(#REF!="Diferenciado",$H$4=#REF!),BDI!$H$17,IF(#REF!="ZERO",0))))),"")</f>
        <v>#REF!</v>
      </c>
      <c r="H397" s="161" t="str">
        <f t="shared" si="19"/>
        <v/>
      </c>
      <c r="I397" s="159" t="str">
        <f t="shared" si="20"/>
        <v/>
      </c>
    </row>
    <row r="398" spans="1:9" hidden="1" x14ac:dyDescent="0.25">
      <c r="A398" s="102" t="s">
        <v>3156</v>
      </c>
      <c r="B398" s="103" t="s">
        <v>3157</v>
      </c>
      <c r="C398" s="104" t="s">
        <v>184</v>
      </c>
      <c r="D398" s="104">
        <v>0</v>
      </c>
      <c r="E398" s="158" t="s">
        <v>1079</v>
      </c>
      <c r="F398" s="159" t="str">
        <f t="shared" si="18"/>
        <v/>
      </c>
      <c r="G398" s="160" t="e">
        <f>IF(A398&lt;&gt;"",IF(AND(#REF!="Padrão",$H$4=#REF!),BDI!$B$17,IF(AND(#REF!="Padrão",$H$4=#REF!),BDI!$C$17,IF(AND(#REF!="Diferenciado",$H$4=#REF!),BDI!$G$17,IF(AND(#REF!="Diferenciado",$H$4=#REF!),BDI!$H$17,IF(#REF!="ZERO",0))))),"")</f>
        <v>#REF!</v>
      </c>
      <c r="H398" s="161" t="str">
        <f t="shared" si="19"/>
        <v/>
      </c>
      <c r="I398" s="159" t="str">
        <f t="shared" si="20"/>
        <v/>
      </c>
    </row>
    <row r="399" spans="1:9" hidden="1" x14ac:dyDescent="0.25">
      <c r="A399" s="102" t="s">
        <v>3158</v>
      </c>
      <c r="B399" s="103" t="s">
        <v>3159</v>
      </c>
      <c r="C399" s="104" t="s">
        <v>32</v>
      </c>
      <c r="D399" s="104">
        <v>0</v>
      </c>
      <c r="E399" s="158" t="s">
        <v>1079</v>
      </c>
      <c r="F399" s="159" t="str">
        <f t="shared" si="18"/>
        <v/>
      </c>
      <c r="G399" s="160" t="e">
        <f>IF(A399&lt;&gt;"",IF(AND(#REF!="Padrão",$H$4=#REF!),BDI!$B$17,IF(AND(#REF!="Padrão",$H$4=#REF!),BDI!$C$17,IF(AND(#REF!="Diferenciado",$H$4=#REF!),BDI!$G$17,IF(AND(#REF!="Diferenciado",$H$4=#REF!),BDI!$H$17,IF(#REF!="ZERO",0))))),"")</f>
        <v>#REF!</v>
      </c>
      <c r="H399" s="161" t="str">
        <f t="shared" si="19"/>
        <v/>
      </c>
      <c r="I399" s="159" t="str">
        <f t="shared" si="20"/>
        <v/>
      </c>
    </row>
    <row r="400" spans="1:9" hidden="1" x14ac:dyDescent="0.25">
      <c r="A400" s="102" t="s">
        <v>3160</v>
      </c>
      <c r="B400" s="103" t="s">
        <v>3161</v>
      </c>
      <c r="C400" s="104" t="s">
        <v>32</v>
      </c>
      <c r="D400" s="104">
        <v>0</v>
      </c>
      <c r="E400" s="158" t="s">
        <v>1079</v>
      </c>
      <c r="F400" s="159" t="str">
        <f t="shared" si="18"/>
        <v/>
      </c>
      <c r="G400" s="160" t="e">
        <f>IF(A400&lt;&gt;"",IF(AND(#REF!="Padrão",$H$4=#REF!),BDI!$B$17,IF(AND(#REF!="Padrão",$H$4=#REF!),BDI!$C$17,IF(AND(#REF!="Diferenciado",$H$4=#REF!),BDI!$G$17,IF(AND(#REF!="Diferenciado",$H$4=#REF!),BDI!$H$17,IF(#REF!="ZERO",0))))),"")</f>
        <v>#REF!</v>
      </c>
      <c r="H400" s="161" t="str">
        <f t="shared" si="19"/>
        <v/>
      </c>
      <c r="I400" s="159" t="str">
        <f t="shared" si="20"/>
        <v/>
      </c>
    </row>
    <row r="401" spans="1:9" hidden="1" x14ac:dyDescent="0.25">
      <c r="A401" s="102" t="s">
        <v>3162</v>
      </c>
      <c r="B401" s="103" t="s">
        <v>3163</v>
      </c>
      <c r="C401" s="104" t="s">
        <v>32</v>
      </c>
      <c r="D401" s="104">
        <v>0</v>
      </c>
      <c r="E401" s="158" t="s">
        <v>1079</v>
      </c>
      <c r="F401" s="159" t="str">
        <f t="shared" si="18"/>
        <v/>
      </c>
      <c r="G401" s="160" t="e">
        <f>IF(A401&lt;&gt;"",IF(AND(#REF!="Padrão",$H$4=#REF!),BDI!$B$17,IF(AND(#REF!="Padrão",$H$4=#REF!),BDI!$C$17,IF(AND(#REF!="Diferenciado",$H$4=#REF!),BDI!$G$17,IF(AND(#REF!="Diferenciado",$H$4=#REF!),BDI!$H$17,IF(#REF!="ZERO",0))))),"")</f>
        <v>#REF!</v>
      </c>
      <c r="H401" s="161" t="str">
        <f t="shared" si="19"/>
        <v/>
      </c>
      <c r="I401" s="159" t="str">
        <f t="shared" si="20"/>
        <v/>
      </c>
    </row>
    <row r="402" spans="1:9" hidden="1" x14ac:dyDescent="0.25">
      <c r="A402" s="102" t="s">
        <v>3164</v>
      </c>
      <c r="B402" s="103" t="s">
        <v>3165</v>
      </c>
      <c r="C402" s="104" t="s">
        <v>32</v>
      </c>
      <c r="D402" s="104">
        <v>0</v>
      </c>
      <c r="E402" s="158" t="s">
        <v>1079</v>
      </c>
      <c r="F402" s="159" t="str">
        <f t="shared" si="18"/>
        <v/>
      </c>
      <c r="G402" s="160" t="e">
        <f>IF(A402&lt;&gt;"",IF(AND(#REF!="Padrão",$H$4=#REF!),BDI!$B$17,IF(AND(#REF!="Padrão",$H$4=#REF!),BDI!$C$17,IF(AND(#REF!="Diferenciado",$H$4=#REF!),BDI!$G$17,IF(AND(#REF!="Diferenciado",$H$4=#REF!),BDI!$H$17,IF(#REF!="ZERO",0))))),"")</f>
        <v>#REF!</v>
      </c>
      <c r="H402" s="161" t="str">
        <f t="shared" si="19"/>
        <v/>
      </c>
      <c r="I402" s="159" t="str">
        <f t="shared" si="20"/>
        <v/>
      </c>
    </row>
    <row r="403" spans="1:9" hidden="1" x14ac:dyDescent="0.25">
      <c r="A403" s="102" t="s">
        <v>3166</v>
      </c>
      <c r="B403" s="103" t="s">
        <v>3167</v>
      </c>
      <c r="C403" s="104" t="s">
        <v>184</v>
      </c>
      <c r="D403" s="104">
        <v>0</v>
      </c>
      <c r="E403" s="158" t="s">
        <v>1079</v>
      </c>
      <c r="F403" s="159" t="str">
        <f t="shared" si="18"/>
        <v/>
      </c>
      <c r="G403" s="160" t="e">
        <f>IF(A403&lt;&gt;"",IF(AND(#REF!="Padrão",$H$4=#REF!),BDI!$B$17,IF(AND(#REF!="Padrão",$H$4=#REF!),BDI!$C$17,IF(AND(#REF!="Diferenciado",$H$4=#REF!),BDI!$G$17,IF(AND(#REF!="Diferenciado",$H$4=#REF!),BDI!$H$17,IF(#REF!="ZERO",0))))),"")</f>
        <v>#REF!</v>
      </c>
      <c r="H403" s="161" t="str">
        <f t="shared" si="19"/>
        <v/>
      </c>
      <c r="I403" s="159" t="str">
        <f t="shared" si="20"/>
        <v/>
      </c>
    </row>
    <row r="404" spans="1:9" hidden="1" x14ac:dyDescent="0.25">
      <c r="A404" s="102" t="s">
        <v>3168</v>
      </c>
      <c r="B404" s="103" t="s">
        <v>3169</v>
      </c>
      <c r="C404" s="104" t="s">
        <v>184</v>
      </c>
      <c r="D404" s="104">
        <v>0</v>
      </c>
      <c r="E404" s="158" t="s">
        <v>1079</v>
      </c>
      <c r="F404" s="159" t="str">
        <f t="shared" si="18"/>
        <v/>
      </c>
      <c r="G404" s="160" t="e">
        <f>IF(A404&lt;&gt;"",IF(AND(#REF!="Padrão",$H$4=#REF!),BDI!$B$17,IF(AND(#REF!="Padrão",$H$4=#REF!),BDI!$C$17,IF(AND(#REF!="Diferenciado",$H$4=#REF!),BDI!$G$17,IF(AND(#REF!="Diferenciado",$H$4=#REF!),BDI!$H$17,IF(#REF!="ZERO",0))))),"")</f>
        <v>#REF!</v>
      </c>
      <c r="H404" s="161" t="str">
        <f t="shared" si="19"/>
        <v/>
      </c>
      <c r="I404" s="159" t="str">
        <f t="shared" si="20"/>
        <v/>
      </c>
    </row>
    <row r="405" spans="1:9" hidden="1" x14ac:dyDescent="0.25">
      <c r="A405" s="102" t="s">
        <v>3170</v>
      </c>
      <c r="B405" s="103" t="s">
        <v>3171</v>
      </c>
      <c r="C405" s="104" t="s">
        <v>32</v>
      </c>
      <c r="D405" s="104">
        <v>0</v>
      </c>
      <c r="E405" s="158" t="s">
        <v>1079</v>
      </c>
      <c r="F405" s="159" t="str">
        <f t="shared" si="18"/>
        <v/>
      </c>
      <c r="G405" s="160" t="e">
        <f>IF(A405&lt;&gt;"",IF(AND(#REF!="Padrão",$H$4=#REF!),BDI!$B$17,IF(AND(#REF!="Padrão",$H$4=#REF!),BDI!$C$17,IF(AND(#REF!="Diferenciado",$H$4=#REF!),BDI!$G$17,IF(AND(#REF!="Diferenciado",$H$4=#REF!),BDI!$H$17,IF(#REF!="ZERO",0))))),"")</f>
        <v>#REF!</v>
      </c>
      <c r="H405" s="161" t="str">
        <f t="shared" si="19"/>
        <v/>
      </c>
      <c r="I405" s="159" t="str">
        <f t="shared" si="20"/>
        <v/>
      </c>
    </row>
    <row r="406" spans="1:9" hidden="1" x14ac:dyDescent="0.25">
      <c r="A406" s="102" t="s">
        <v>3172</v>
      </c>
      <c r="B406" s="103" t="s">
        <v>3173</v>
      </c>
      <c r="C406" s="104" t="s">
        <v>184</v>
      </c>
      <c r="D406" s="104">
        <v>0</v>
      </c>
      <c r="E406" s="158" t="s">
        <v>1079</v>
      </c>
      <c r="F406" s="159" t="str">
        <f t="shared" si="18"/>
        <v/>
      </c>
      <c r="G406" s="160" t="e">
        <f>IF(A406&lt;&gt;"",IF(AND(#REF!="Padrão",$H$4=#REF!),BDI!$B$17,IF(AND(#REF!="Padrão",$H$4=#REF!),BDI!$C$17,IF(AND(#REF!="Diferenciado",$H$4=#REF!),BDI!$G$17,IF(AND(#REF!="Diferenciado",$H$4=#REF!),BDI!$H$17,IF(#REF!="ZERO",0))))),"")</f>
        <v>#REF!</v>
      </c>
      <c r="H406" s="161" t="str">
        <f t="shared" si="19"/>
        <v/>
      </c>
      <c r="I406" s="159" t="str">
        <f t="shared" si="20"/>
        <v/>
      </c>
    </row>
    <row r="407" spans="1:9" hidden="1" x14ac:dyDescent="0.25">
      <c r="A407" s="102" t="s">
        <v>3174</v>
      </c>
      <c r="B407" s="103" t="s">
        <v>3175</v>
      </c>
      <c r="C407" s="104" t="s">
        <v>32</v>
      </c>
      <c r="D407" s="104">
        <v>0</v>
      </c>
      <c r="E407" s="158" t="s">
        <v>1079</v>
      </c>
      <c r="F407" s="159" t="str">
        <f t="shared" si="18"/>
        <v/>
      </c>
      <c r="G407" s="160" t="e">
        <f>IF(A407&lt;&gt;"",IF(AND(#REF!="Padrão",$H$4=#REF!),BDI!$B$17,IF(AND(#REF!="Padrão",$H$4=#REF!),BDI!$C$17,IF(AND(#REF!="Diferenciado",$H$4=#REF!),BDI!$G$17,IF(AND(#REF!="Diferenciado",$H$4=#REF!),BDI!$H$17,IF(#REF!="ZERO",0))))),"")</f>
        <v>#REF!</v>
      </c>
      <c r="H407" s="161" t="str">
        <f t="shared" si="19"/>
        <v/>
      </c>
      <c r="I407" s="159" t="str">
        <f t="shared" si="20"/>
        <v/>
      </c>
    </row>
    <row r="408" spans="1:9" hidden="1" x14ac:dyDescent="0.25">
      <c r="A408" s="102" t="s">
        <v>3176</v>
      </c>
      <c r="B408" s="103" t="s">
        <v>3177</v>
      </c>
      <c r="C408" s="104" t="s">
        <v>32</v>
      </c>
      <c r="D408" s="104">
        <v>0</v>
      </c>
      <c r="E408" s="158" t="s">
        <v>1079</v>
      </c>
      <c r="F408" s="159" t="str">
        <f t="shared" si="18"/>
        <v/>
      </c>
      <c r="G408" s="160" t="e">
        <f>IF(A408&lt;&gt;"",IF(AND(#REF!="Padrão",$H$4=#REF!),BDI!$B$17,IF(AND(#REF!="Padrão",$H$4=#REF!),BDI!$C$17,IF(AND(#REF!="Diferenciado",$H$4=#REF!),BDI!$G$17,IF(AND(#REF!="Diferenciado",$H$4=#REF!),BDI!$H$17,IF(#REF!="ZERO",0))))),"")</f>
        <v>#REF!</v>
      </c>
      <c r="H408" s="161" t="str">
        <f t="shared" si="19"/>
        <v/>
      </c>
      <c r="I408" s="159" t="str">
        <f t="shared" si="20"/>
        <v/>
      </c>
    </row>
    <row r="409" spans="1:9" hidden="1" x14ac:dyDescent="0.25">
      <c r="A409" s="102" t="s">
        <v>3178</v>
      </c>
      <c r="B409" s="103" t="s">
        <v>3179</v>
      </c>
      <c r="C409" s="104" t="s">
        <v>32</v>
      </c>
      <c r="D409" s="104">
        <v>0</v>
      </c>
      <c r="E409" s="158" t="s">
        <v>1079</v>
      </c>
      <c r="F409" s="159" t="str">
        <f t="shared" si="18"/>
        <v/>
      </c>
      <c r="G409" s="160" t="e">
        <f>IF(A409&lt;&gt;"",IF(AND(#REF!="Padrão",$H$4=#REF!),BDI!$B$17,IF(AND(#REF!="Padrão",$H$4=#REF!),BDI!$C$17,IF(AND(#REF!="Diferenciado",$H$4=#REF!),BDI!$G$17,IF(AND(#REF!="Diferenciado",$H$4=#REF!),BDI!$H$17,IF(#REF!="ZERO",0))))),"")</f>
        <v>#REF!</v>
      </c>
      <c r="H409" s="161" t="str">
        <f t="shared" si="19"/>
        <v/>
      </c>
      <c r="I409" s="159" t="str">
        <f t="shared" si="20"/>
        <v/>
      </c>
    </row>
    <row r="410" spans="1:9" hidden="1" x14ac:dyDescent="0.25">
      <c r="A410" s="102" t="s">
        <v>3180</v>
      </c>
      <c r="B410" s="103" t="s">
        <v>3181</v>
      </c>
      <c r="C410" s="104" t="s">
        <v>32</v>
      </c>
      <c r="D410" s="104">
        <v>0</v>
      </c>
      <c r="E410" s="158" t="s">
        <v>1079</v>
      </c>
      <c r="F410" s="159" t="str">
        <f t="shared" si="18"/>
        <v/>
      </c>
      <c r="G410" s="160" t="e">
        <f>IF(A410&lt;&gt;"",IF(AND(#REF!="Padrão",$H$4=#REF!),BDI!$B$17,IF(AND(#REF!="Padrão",$H$4=#REF!),BDI!$C$17,IF(AND(#REF!="Diferenciado",$H$4=#REF!),BDI!$G$17,IF(AND(#REF!="Diferenciado",$H$4=#REF!),BDI!$H$17,IF(#REF!="ZERO",0))))),"")</f>
        <v>#REF!</v>
      </c>
      <c r="H410" s="161" t="str">
        <f t="shared" si="19"/>
        <v/>
      </c>
      <c r="I410" s="159" t="str">
        <f t="shared" si="20"/>
        <v/>
      </c>
    </row>
    <row r="411" spans="1:9" hidden="1" x14ac:dyDescent="0.25">
      <c r="A411" s="102" t="s">
        <v>3182</v>
      </c>
      <c r="B411" s="103" t="s">
        <v>3183</v>
      </c>
      <c r="C411" s="104" t="s">
        <v>32</v>
      </c>
      <c r="D411" s="104">
        <v>0</v>
      </c>
      <c r="E411" s="158" t="s">
        <v>1079</v>
      </c>
      <c r="F411" s="159" t="str">
        <f t="shared" si="18"/>
        <v/>
      </c>
      <c r="G411" s="160" t="e">
        <f>IF(A411&lt;&gt;"",IF(AND(#REF!="Padrão",$H$4=#REF!),BDI!$B$17,IF(AND(#REF!="Padrão",$H$4=#REF!),BDI!$C$17,IF(AND(#REF!="Diferenciado",$H$4=#REF!),BDI!$G$17,IF(AND(#REF!="Diferenciado",$H$4=#REF!),BDI!$H$17,IF(#REF!="ZERO",0))))),"")</f>
        <v>#REF!</v>
      </c>
      <c r="H411" s="161" t="str">
        <f t="shared" si="19"/>
        <v/>
      </c>
      <c r="I411" s="159" t="str">
        <f t="shared" si="20"/>
        <v/>
      </c>
    </row>
    <row r="412" spans="1:9" hidden="1" x14ac:dyDescent="0.25">
      <c r="A412" s="102" t="s">
        <v>3184</v>
      </c>
      <c r="B412" s="103" t="s">
        <v>3185</v>
      </c>
      <c r="C412" s="104" t="s">
        <v>32</v>
      </c>
      <c r="D412" s="104">
        <v>0</v>
      </c>
      <c r="E412" s="158" t="s">
        <v>1079</v>
      </c>
      <c r="F412" s="159" t="str">
        <f t="shared" si="18"/>
        <v/>
      </c>
      <c r="G412" s="160" t="e">
        <f>IF(A412&lt;&gt;"",IF(AND(#REF!="Padrão",$H$4=#REF!),BDI!$B$17,IF(AND(#REF!="Padrão",$H$4=#REF!),BDI!$C$17,IF(AND(#REF!="Diferenciado",$H$4=#REF!),BDI!$G$17,IF(AND(#REF!="Diferenciado",$H$4=#REF!),BDI!$H$17,IF(#REF!="ZERO",0))))),"")</f>
        <v>#REF!</v>
      </c>
      <c r="H412" s="161" t="str">
        <f t="shared" si="19"/>
        <v/>
      </c>
      <c r="I412" s="198" t="str">
        <f t="shared" si="20"/>
        <v/>
      </c>
    </row>
    <row r="413" spans="1:9" x14ac:dyDescent="0.25">
      <c r="A413" s="204" t="s">
        <v>1435</v>
      </c>
      <c r="B413" s="205" t="s">
        <v>3186</v>
      </c>
      <c r="C413" s="206" t="s">
        <v>32</v>
      </c>
      <c r="D413" s="206">
        <v>4</v>
      </c>
      <c r="E413" s="158">
        <f ca="1">OFFSET(INDEX(Composições!A:J,MATCH(Orçamentária!A413,Composições!A:A,0),10),2,0)</f>
        <v>47.404999999999994</v>
      </c>
      <c r="F413" s="159">
        <f t="shared" ca="1" si="18"/>
        <v>189.61999999999998</v>
      </c>
      <c r="G413" s="160">
        <f>BDI!$C$17</f>
        <v>0.24479999999999999</v>
      </c>
      <c r="H413" s="161">
        <f t="shared" ca="1" si="19"/>
        <v>59.01</v>
      </c>
      <c r="I413" s="202">
        <f t="shared" ca="1" si="20"/>
        <v>236.04</v>
      </c>
    </row>
    <row r="414" spans="1:9" hidden="1" x14ac:dyDescent="0.25">
      <c r="A414" s="102" t="s">
        <v>3187</v>
      </c>
      <c r="B414" s="103" t="s">
        <v>3188</v>
      </c>
      <c r="C414" s="104" t="s">
        <v>32</v>
      </c>
      <c r="D414" s="104">
        <v>0</v>
      </c>
      <c r="E414" s="158" t="s">
        <v>1079</v>
      </c>
      <c r="F414" s="159" t="str">
        <f t="shared" si="18"/>
        <v/>
      </c>
      <c r="G414" s="160" t="e">
        <f>IF(A414&lt;&gt;"",IF(AND(#REF!="Padrão",$H$4=#REF!),BDI!$B$17,IF(AND(#REF!="Padrão",$H$4=#REF!),BDI!$C$17,IF(AND(#REF!="Diferenciado",$H$4=#REF!),BDI!$G$17,IF(AND(#REF!="Diferenciado",$H$4=#REF!),BDI!$H$17,IF(#REF!="ZERO",0))))),"")</f>
        <v>#REF!</v>
      </c>
      <c r="H414" s="161" t="str">
        <f t="shared" si="19"/>
        <v/>
      </c>
      <c r="I414" s="159" t="str">
        <f t="shared" si="20"/>
        <v/>
      </c>
    </row>
    <row r="415" spans="1:9" hidden="1" x14ac:dyDescent="0.25">
      <c r="A415" s="102" t="s">
        <v>3189</v>
      </c>
      <c r="B415" s="103" t="s">
        <v>3190</v>
      </c>
      <c r="C415" s="104" t="s">
        <v>32</v>
      </c>
      <c r="D415" s="104">
        <v>0</v>
      </c>
      <c r="E415" s="158" t="s">
        <v>1079</v>
      </c>
      <c r="F415" s="159" t="str">
        <f t="shared" si="18"/>
        <v/>
      </c>
      <c r="G415" s="160" t="e">
        <f>IF(A415&lt;&gt;"",IF(AND(#REF!="Padrão",$H$4=#REF!),BDI!$B$17,IF(AND(#REF!="Padrão",$H$4=#REF!),BDI!$C$17,IF(AND(#REF!="Diferenciado",$H$4=#REF!),BDI!$G$17,IF(AND(#REF!="Diferenciado",$H$4=#REF!),BDI!$H$17,IF(#REF!="ZERO",0))))),"")</f>
        <v>#REF!</v>
      </c>
      <c r="H415" s="161" t="str">
        <f t="shared" si="19"/>
        <v/>
      </c>
      <c r="I415" s="159" t="str">
        <f t="shared" si="20"/>
        <v/>
      </c>
    </row>
    <row r="416" spans="1:9" hidden="1" x14ac:dyDescent="0.25">
      <c r="A416" s="102" t="s">
        <v>3191</v>
      </c>
      <c r="B416" s="103" t="s">
        <v>3192</v>
      </c>
      <c r="C416" s="104" t="s">
        <v>32</v>
      </c>
      <c r="D416" s="104">
        <v>0</v>
      </c>
      <c r="E416" s="158" t="s">
        <v>1079</v>
      </c>
      <c r="F416" s="159" t="str">
        <f t="shared" si="18"/>
        <v/>
      </c>
      <c r="G416" s="160" t="e">
        <f>IF(A416&lt;&gt;"",IF(AND(#REF!="Padrão",$H$4=#REF!),BDI!$B$17,IF(AND(#REF!="Padrão",$H$4=#REF!),BDI!$C$17,IF(AND(#REF!="Diferenciado",$H$4=#REF!),BDI!$G$17,IF(AND(#REF!="Diferenciado",$H$4=#REF!),BDI!$H$17,IF(#REF!="ZERO",0))))),"")</f>
        <v>#REF!</v>
      </c>
      <c r="H416" s="161" t="str">
        <f t="shared" si="19"/>
        <v/>
      </c>
      <c r="I416" s="159" t="str">
        <f t="shared" si="20"/>
        <v/>
      </c>
    </row>
    <row r="417" spans="1:9" hidden="1" x14ac:dyDescent="0.25">
      <c r="A417" s="102" t="s">
        <v>3193</v>
      </c>
      <c r="B417" s="103" t="s">
        <v>3194</v>
      </c>
      <c r="C417" s="104" t="s">
        <v>32</v>
      </c>
      <c r="D417" s="104">
        <v>0</v>
      </c>
      <c r="E417" s="158" t="s">
        <v>1079</v>
      </c>
      <c r="F417" s="159" t="str">
        <f t="shared" si="18"/>
        <v/>
      </c>
      <c r="G417" s="160" t="e">
        <f>IF(A417&lt;&gt;"",IF(AND(#REF!="Padrão",$H$4=#REF!),BDI!$B$17,IF(AND(#REF!="Padrão",$H$4=#REF!),BDI!$C$17,IF(AND(#REF!="Diferenciado",$H$4=#REF!),BDI!$G$17,IF(AND(#REF!="Diferenciado",$H$4=#REF!),BDI!$H$17,IF(#REF!="ZERO",0))))),"")</f>
        <v>#REF!</v>
      </c>
      <c r="H417" s="161" t="str">
        <f t="shared" si="19"/>
        <v/>
      </c>
      <c r="I417" s="159" t="str">
        <f t="shared" si="20"/>
        <v/>
      </c>
    </row>
    <row r="418" spans="1:9" hidden="1" x14ac:dyDescent="0.25">
      <c r="A418" s="102" t="s">
        <v>3195</v>
      </c>
      <c r="B418" s="103" t="s">
        <v>3196</v>
      </c>
      <c r="C418" s="104" t="s">
        <v>32</v>
      </c>
      <c r="D418" s="104">
        <v>0</v>
      </c>
      <c r="E418" s="158" t="s">
        <v>1079</v>
      </c>
      <c r="F418" s="159" t="str">
        <f t="shared" si="18"/>
        <v/>
      </c>
      <c r="G418" s="160" t="e">
        <f>IF(A418&lt;&gt;"",IF(AND(#REF!="Padrão",$H$4=#REF!),BDI!$B$17,IF(AND(#REF!="Padrão",$H$4=#REF!),BDI!$C$17,IF(AND(#REF!="Diferenciado",$H$4=#REF!),BDI!$G$17,IF(AND(#REF!="Diferenciado",$H$4=#REF!),BDI!$H$17,IF(#REF!="ZERO",0))))),"")</f>
        <v>#REF!</v>
      </c>
      <c r="H418" s="161" t="str">
        <f t="shared" si="19"/>
        <v/>
      </c>
      <c r="I418" s="159" t="str">
        <f t="shared" si="20"/>
        <v/>
      </c>
    </row>
    <row r="419" spans="1:9" hidden="1" x14ac:dyDescent="0.25">
      <c r="A419" s="102" t="s">
        <v>3197</v>
      </c>
      <c r="B419" s="103" t="s">
        <v>3198</v>
      </c>
      <c r="C419" s="104" t="s">
        <v>32</v>
      </c>
      <c r="D419" s="104">
        <v>0</v>
      </c>
      <c r="E419" s="158" t="s">
        <v>1079</v>
      </c>
      <c r="F419" s="159" t="str">
        <f t="shared" si="18"/>
        <v/>
      </c>
      <c r="G419" s="160" t="e">
        <f>IF(A419&lt;&gt;"",IF(AND(#REF!="Padrão",$H$4=#REF!),BDI!$B$17,IF(AND(#REF!="Padrão",$H$4=#REF!),BDI!$C$17,IF(AND(#REF!="Diferenciado",$H$4=#REF!),BDI!$G$17,IF(AND(#REF!="Diferenciado",$H$4=#REF!),BDI!$H$17,IF(#REF!="ZERO",0))))),"")</f>
        <v>#REF!</v>
      </c>
      <c r="H419" s="161" t="str">
        <f t="shared" si="19"/>
        <v/>
      </c>
      <c r="I419" s="159" t="str">
        <f t="shared" si="20"/>
        <v/>
      </c>
    </row>
    <row r="420" spans="1:9" hidden="1" x14ac:dyDescent="0.25">
      <c r="A420" s="102" t="s">
        <v>3199</v>
      </c>
      <c r="B420" s="103" t="s">
        <v>3200</v>
      </c>
      <c r="C420" s="104" t="s">
        <v>32</v>
      </c>
      <c r="D420" s="104">
        <v>0</v>
      </c>
      <c r="E420" s="158" t="s">
        <v>1079</v>
      </c>
      <c r="F420" s="159" t="str">
        <f t="shared" si="18"/>
        <v/>
      </c>
      <c r="G420" s="160" t="e">
        <f>IF(A420&lt;&gt;"",IF(AND(#REF!="Padrão",$H$4=#REF!),BDI!$B$17,IF(AND(#REF!="Padrão",$H$4=#REF!),BDI!$C$17,IF(AND(#REF!="Diferenciado",$H$4=#REF!),BDI!$G$17,IF(AND(#REF!="Diferenciado",$H$4=#REF!),BDI!$H$17,IF(#REF!="ZERO",0))))),"")</f>
        <v>#REF!</v>
      </c>
      <c r="H420" s="161" t="str">
        <f t="shared" si="19"/>
        <v/>
      </c>
      <c r="I420" s="159" t="str">
        <f t="shared" si="20"/>
        <v/>
      </c>
    </row>
    <row r="421" spans="1:9" hidden="1" x14ac:dyDescent="0.25">
      <c r="A421" s="102" t="s">
        <v>3201</v>
      </c>
      <c r="B421" s="103" t="s">
        <v>3202</v>
      </c>
      <c r="C421" s="104" t="s">
        <v>32</v>
      </c>
      <c r="D421" s="104">
        <v>0</v>
      </c>
      <c r="E421" s="158" t="s">
        <v>1079</v>
      </c>
      <c r="F421" s="159" t="str">
        <f t="shared" si="18"/>
        <v/>
      </c>
      <c r="G421" s="160" t="e">
        <f>IF(A421&lt;&gt;"",IF(AND(#REF!="Padrão",$H$4=#REF!),BDI!$B$17,IF(AND(#REF!="Padrão",$H$4=#REF!),BDI!$C$17,IF(AND(#REF!="Diferenciado",$H$4=#REF!),BDI!$G$17,IF(AND(#REF!="Diferenciado",$H$4=#REF!),BDI!$H$17,IF(#REF!="ZERO",0))))),"")</f>
        <v>#REF!</v>
      </c>
      <c r="H421" s="161" t="str">
        <f t="shared" si="19"/>
        <v/>
      </c>
      <c r="I421" s="159" t="str">
        <f t="shared" si="20"/>
        <v/>
      </c>
    </row>
    <row r="422" spans="1:9" hidden="1" x14ac:dyDescent="0.25">
      <c r="A422" s="102" t="s">
        <v>3203</v>
      </c>
      <c r="B422" s="103" t="s">
        <v>3204</v>
      </c>
      <c r="C422" s="104" t="s">
        <v>32</v>
      </c>
      <c r="D422" s="104">
        <v>0</v>
      </c>
      <c r="E422" s="158" t="s">
        <v>1079</v>
      </c>
      <c r="F422" s="159" t="str">
        <f t="shared" si="18"/>
        <v/>
      </c>
      <c r="G422" s="160" t="e">
        <f>IF(A422&lt;&gt;"",IF(AND(#REF!="Padrão",$H$4=#REF!),BDI!$B$17,IF(AND(#REF!="Padrão",$H$4=#REF!),BDI!$C$17,IF(AND(#REF!="Diferenciado",$H$4=#REF!),BDI!$G$17,IF(AND(#REF!="Diferenciado",$H$4=#REF!),BDI!$H$17,IF(#REF!="ZERO",0))))),"")</f>
        <v>#REF!</v>
      </c>
      <c r="H422" s="161" t="str">
        <f t="shared" si="19"/>
        <v/>
      </c>
      <c r="I422" s="159" t="str">
        <f t="shared" si="20"/>
        <v/>
      </c>
    </row>
    <row r="423" spans="1:9" hidden="1" x14ac:dyDescent="0.25">
      <c r="A423" s="102" t="s">
        <v>3205</v>
      </c>
      <c r="B423" s="103" t="s">
        <v>3206</v>
      </c>
      <c r="C423" s="104" t="s">
        <v>32</v>
      </c>
      <c r="D423" s="104">
        <v>0</v>
      </c>
      <c r="E423" s="158" t="s">
        <v>1079</v>
      </c>
      <c r="F423" s="159" t="str">
        <f t="shared" si="18"/>
        <v/>
      </c>
      <c r="G423" s="160" t="e">
        <f>IF(A423&lt;&gt;"",IF(AND(#REF!="Padrão",$H$4=#REF!),BDI!$B$17,IF(AND(#REF!="Padrão",$H$4=#REF!),BDI!$C$17,IF(AND(#REF!="Diferenciado",$H$4=#REF!),BDI!$G$17,IF(AND(#REF!="Diferenciado",$H$4=#REF!),BDI!$H$17,IF(#REF!="ZERO",0))))),"")</f>
        <v>#REF!</v>
      </c>
      <c r="H423" s="161" t="str">
        <f t="shared" si="19"/>
        <v/>
      </c>
      <c r="I423" s="159" t="str">
        <f t="shared" si="20"/>
        <v/>
      </c>
    </row>
    <row r="424" spans="1:9" hidden="1" x14ac:dyDescent="0.25">
      <c r="A424" s="102" t="s">
        <v>3207</v>
      </c>
      <c r="B424" s="103" t="s">
        <v>3208</v>
      </c>
      <c r="C424" s="104" t="s">
        <v>32</v>
      </c>
      <c r="D424" s="104">
        <v>0</v>
      </c>
      <c r="E424" s="158" t="s">
        <v>1079</v>
      </c>
      <c r="F424" s="159" t="str">
        <f t="shared" si="18"/>
        <v/>
      </c>
      <c r="G424" s="160" t="e">
        <f>IF(A424&lt;&gt;"",IF(AND(#REF!="Padrão",$H$4=#REF!),BDI!$B$17,IF(AND(#REF!="Padrão",$H$4=#REF!),BDI!$C$17,IF(AND(#REF!="Diferenciado",$H$4=#REF!),BDI!$G$17,IF(AND(#REF!="Diferenciado",$H$4=#REF!),BDI!$H$17,IF(#REF!="ZERO",0))))),"")</f>
        <v>#REF!</v>
      </c>
      <c r="H424" s="161" t="str">
        <f t="shared" si="19"/>
        <v/>
      </c>
      <c r="I424" s="159" t="str">
        <f t="shared" si="20"/>
        <v/>
      </c>
    </row>
    <row r="425" spans="1:9" hidden="1" x14ac:dyDescent="0.25">
      <c r="A425" s="102" t="s">
        <v>3209</v>
      </c>
      <c r="B425" s="103" t="s">
        <v>3210</v>
      </c>
      <c r="C425" s="104" t="s">
        <v>32</v>
      </c>
      <c r="D425" s="104">
        <v>0</v>
      </c>
      <c r="E425" s="158" t="s">
        <v>1079</v>
      </c>
      <c r="F425" s="159" t="str">
        <f t="shared" si="18"/>
        <v/>
      </c>
      <c r="G425" s="160" t="e">
        <f>IF(A425&lt;&gt;"",IF(AND(#REF!="Padrão",$H$4=#REF!),BDI!$B$17,IF(AND(#REF!="Padrão",$H$4=#REF!),BDI!$C$17,IF(AND(#REF!="Diferenciado",$H$4=#REF!),BDI!$G$17,IF(AND(#REF!="Diferenciado",$H$4=#REF!),BDI!$H$17,IF(#REF!="ZERO",0))))),"")</f>
        <v>#REF!</v>
      </c>
      <c r="H425" s="161" t="str">
        <f t="shared" si="19"/>
        <v/>
      </c>
      <c r="I425" s="159" t="str">
        <f t="shared" si="20"/>
        <v/>
      </c>
    </row>
    <row r="426" spans="1:9" hidden="1" x14ac:dyDescent="0.25">
      <c r="A426" s="102" t="s">
        <v>3211</v>
      </c>
      <c r="B426" s="103" t="s">
        <v>3212</v>
      </c>
      <c r="C426" s="104" t="s">
        <v>32</v>
      </c>
      <c r="D426" s="104">
        <v>0</v>
      </c>
      <c r="E426" s="158" t="s">
        <v>1079</v>
      </c>
      <c r="F426" s="159" t="str">
        <f t="shared" si="18"/>
        <v/>
      </c>
      <c r="G426" s="160" t="e">
        <f>IF(A426&lt;&gt;"",IF(AND(#REF!="Padrão",$H$4=#REF!),BDI!$B$17,IF(AND(#REF!="Padrão",$H$4=#REF!),BDI!$C$17,IF(AND(#REF!="Diferenciado",$H$4=#REF!),BDI!$G$17,IF(AND(#REF!="Diferenciado",$H$4=#REF!),BDI!$H$17,IF(#REF!="ZERO",0))))),"")</f>
        <v>#REF!</v>
      </c>
      <c r="H426" s="161" t="str">
        <f t="shared" si="19"/>
        <v/>
      </c>
      <c r="I426" s="159" t="str">
        <f t="shared" si="20"/>
        <v/>
      </c>
    </row>
    <row r="427" spans="1:9" hidden="1" x14ac:dyDescent="0.25">
      <c r="A427" s="102" t="s">
        <v>3213</v>
      </c>
      <c r="B427" s="103" t="s">
        <v>3214</v>
      </c>
      <c r="C427" s="104" t="s">
        <v>32</v>
      </c>
      <c r="D427" s="104">
        <v>0</v>
      </c>
      <c r="E427" s="158" t="s">
        <v>1079</v>
      </c>
      <c r="F427" s="159" t="str">
        <f t="shared" si="18"/>
        <v/>
      </c>
      <c r="G427" s="160" t="e">
        <f>IF(A427&lt;&gt;"",IF(AND(#REF!="Padrão",$H$4=#REF!),BDI!$B$17,IF(AND(#REF!="Padrão",$H$4=#REF!),BDI!$C$17,IF(AND(#REF!="Diferenciado",$H$4=#REF!),BDI!$G$17,IF(AND(#REF!="Diferenciado",$H$4=#REF!),BDI!$H$17,IF(#REF!="ZERO",0))))),"")</f>
        <v>#REF!</v>
      </c>
      <c r="H427" s="161" t="str">
        <f t="shared" si="19"/>
        <v/>
      </c>
      <c r="I427" s="159" t="str">
        <f t="shared" si="20"/>
        <v/>
      </c>
    </row>
    <row r="428" spans="1:9" hidden="1" x14ac:dyDescent="0.25">
      <c r="A428" s="102" t="s">
        <v>3215</v>
      </c>
      <c r="B428" s="103" t="s">
        <v>3216</v>
      </c>
      <c r="C428" s="104" t="s">
        <v>32</v>
      </c>
      <c r="D428" s="104">
        <v>0</v>
      </c>
      <c r="E428" s="158" t="s">
        <v>1079</v>
      </c>
      <c r="F428" s="159" t="str">
        <f t="shared" si="18"/>
        <v/>
      </c>
      <c r="G428" s="160" t="e">
        <f>IF(A428&lt;&gt;"",IF(AND(#REF!="Padrão",$H$4=#REF!),BDI!$B$17,IF(AND(#REF!="Padrão",$H$4=#REF!),BDI!$C$17,IF(AND(#REF!="Diferenciado",$H$4=#REF!),BDI!$G$17,IF(AND(#REF!="Diferenciado",$H$4=#REF!),BDI!$H$17,IF(#REF!="ZERO",0))))),"")</f>
        <v>#REF!</v>
      </c>
      <c r="H428" s="161" t="str">
        <f t="shared" si="19"/>
        <v/>
      </c>
      <c r="I428" s="159" t="str">
        <f t="shared" si="20"/>
        <v/>
      </c>
    </row>
    <row r="429" spans="1:9" hidden="1" x14ac:dyDescent="0.25">
      <c r="A429" s="102" t="s">
        <v>3217</v>
      </c>
      <c r="B429" s="103" t="s">
        <v>3218</v>
      </c>
      <c r="C429" s="104" t="s">
        <v>32</v>
      </c>
      <c r="D429" s="104">
        <v>0</v>
      </c>
      <c r="E429" s="158" t="s">
        <v>1079</v>
      </c>
      <c r="F429" s="159" t="str">
        <f t="shared" si="18"/>
        <v/>
      </c>
      <c r="G429" s="160" t="e">
        <f>IF(A429&lt;&gt;"",IF(AND(#REF!="Padrão",$H$4=#REF!),BDI!$B$17,IF(AND(#REF!="Padrão",$H$4=#REF!),BDI!$C$17,IF(AND(#REF!="Diferenciado",$H$4=#REF!),BDI!$G$17,IF(AND(#REF!="Diferenciado",$H$4=#REF!),BDI!$H$17,IF(#REF!="ZERO",0))))),"")</f>
        <v>#REF!</v>
      </c>
      <c r="H429" s="161" t="str">
        <f t="shared" si="19"/>
        <v/>
      </c>
      <c r="I429" s="159" t="str">
        <f t="shared" si="20"/>
        <v/>
      </c>
    </row>
    <row r="430" spans="1:9" hidden="1" x14ac:dyDescent="0.25">
      <c r="A430" s="102" t="s">
        <v>3219</v>
      </c>
      <c r="B430" s="103" t="s">
        <v>3220</v>
      </c>
      <c r="C430" s="104" t="s">
        <v>32</v>
      </c>
      <c r="D430" s="104">
        <v>0</v>
      </c>
      <c r="E430" s="158" t="s">
        <v>1079</v>
      </c>
      <c r="F430" s="159" t="str">
        <f t="shared" si="18"/>
        <v/>
      </c>
      <c r="G430" s="160" t="e">
        <f>IF(A430&lt;&gt;"",IF(AND(#REF!="Padrão",$H$4=#REF!),BDI!$B$17,IF(AND(#REF!="Padrão",$H$4=#REF!),BDI!$C$17,IF(AND(#REF!="Diferenciado",$H$4=#REF!),BDI!$G$17,IF(AND(#REF!="Diferenciado",$H$4=#REF!),BDI!$H$17,IF(#REF!="ZERO",0))))),"")</f>
        <v>#REF!</v>
      </c>
      <c r="H430" s="161" t="str">
        <f t="shared" si="19"/>
        <v/>
      </c>
      <c r="I430" s="159" t="str">
        <f t="shared" si="20"/>
        <v/>
      </c>
    </row>
    <row r="431" spans="1:9" hidden="1" x14ac:dyDescent="0.25">
      <c r="A431" s="102" t="s">
        <v>3221</v>
      </c>
      <c r="B431" s="103" t="s">
        <v>3222</v>
      </c>
      <c r="C431" s="104" t="s">
        <v>32</v>
      </c>
      <c r="D431" s="104">
        <v>0</v>
      </c>
      <c r="E431" s="158" t="s">
        <v>1079</v>
      </c>
      <c r="F431" s="159" t="str">
        <f t="shared" si="18"/>
        <v/>
      </c>
      <c r="G431" s="160" t="e">
        <f>IF(A431&lt;&gt;"",IF(AND(#REF!="Padrão",$H$4=#REF!),BDI!$B$17,IF(AND(#REF!="Padrão",$H$4=#REF!),BDI!$C$17,IF(AND(#REF!="Diferenciado",$H$4=#REF!),BDI!$G$17,IF(AND(#REF!="Diferenciado",$H$4=#REF!),BDI!$H$17,IF(#REF!="ZERO",0))))),"")</f>
        <v>#REF!</v>
      </c>
      <c r="H431" s="161" t="str">
        <f t="shared" si="19"/>
        <v/>
      </c>
      <c r="I431" s="159" t="str">
        <f t="shared" si="20"/>
        <v/>
      </c>
    </row>
    <row r="432" spans="1:9" hidden="1" x14ac:dyDescent="0.25">
      <c r="A432" s="102" t="s">
        <v>3223</v>
      </c>
      <c r="B432" s="103" t="s">
        <v>3224</v>
      </c>
      <c r="C432" s="104" t="s">
        <v>32</v>
      </c>
      <c r="D432" s="104">
        <v>0</v>
      </c>
      <c r="E432" s="158" t="s">
        <v>1079</v>
      </c>
      <c r="F432" s="159" t="str">
        <f t="shared" si="18"/>
        <v/>
      </c>
      <c r="G432" s="160" t="e">
        <f>IF(A432&lt;&gt;"",IF(AND(#REF!="Padrão",$H$4=#REF!),BDI!$B$17,IF(AND(#REF!="Padrão",$H$4=#REF!),BDI!$C$17,IF(AND(#REF!="Diferenciado",$H$4=#REF!),BDI!$G$17,IF(AND(#REF!="Diferenciado",$H$4=#REF!),BDI!$H$17,IF(#REF!="ZERO",0))))),"")</f>
        <v>#REF!</v>
      </c>
      <c r="H432" s="161" t="str">
        <f t="shared" si="19"/>
        <v/>
      </c>
      <c r="I432" s="159" t="str">
        <f t="shared" si="20"/>
        <v/>
      </c>
    </row>
    <row r="433" spans="1:9" hidden="1" x14ac:dyDescent="0.25">
      <c r="A433" s="102" t="s">
        <v>3225</v>
      </c>
      <c r="B433" s="103" t="s">
        <v>3226</v>
      </c>
      <c r="C433" s="104" t="s">
        <v>32</v>
      </c>
      <c r="D433" s="104">
        <v>0</v>
      </c>
      <c r="E433" s="158" t="s">
        <v>1079</v>
      </c>
      <c r="F433" s="159" t="str">
        <f t="shared" si="18"/>
        <v/>
      </c>
      <c r="G433" s="160" t="e">
        <f>IF(A433&lt;&gt;"",IF(AND(#REF!="Padrão",$H$4=#REF!),BDI!$B$17,IF(AND(#REF!="Padrão",$H$4=#REF!),BDI!$C$17,IF(AND(#REF!="Diferenciado",$H$4=#REF!),BDI!$G$17,IF(AND(#REF!="Diferenciado",$H$4=#REF!),BDI!$H$17,IF(#REF!="ZERO",0))))),"")</f>
        <v>#REF!</v>
      </c>
      <c r="H433" s="161" t="str">
        <f t="shared" si="19"/>
        <v/>
      </c>
      <c r="I433" s="159" t="str">
        <f t="shared" si="20"/>
        <v/>
      </c>
    </row>
    <row r="434" spans="1:9" hidden="1" x14ac:dyDescent="0.25">
      <c r="A434" s="102" t="s">
        <v>3227</v>
      </c>
      <c r="B434" s="103" t="s">
        <v>3228</v>
      </c>
      <c r="C434" s="104" t="s">
        <v>3229</v>
      </c>
      <c r="D434" s="104">
        <v>0</v>
      </c>
      <c r="E434" s="158" t="s">
        <v>1079</v>
      </c>
      <c r="F434" s="159" t="str">
        <f t="shared" si="18"/>
        <v/>
      </c>
      <c r="G434" s="160" t="e">
        <f>IF(A434&lt;&gt;"",IF(AND(#REF!="Padrão",$H$4=#REF!),BDI!$B$17,IF(AND(#REF!="Padrão",$H$4=#REF!),BDI!$C$17,IF(AND(#REF!="Diferenciado",$H$4=#REF!),BDI!$G$17,IF(AND(#REF!="Diferenciado",$H$4=#REF!),BDI!$H$17,IF(#REF!="ZERO",0))))),"")</f>
        <v>#REF!</v>
      </c>
      <c r="H434" s="161" t="str">
        <f t="shared" si="19"/>
        <v/>
      </c>
      <c r="I434" s="159" t="str">
        <f t="shared" si="20"/>
        <v/>
      </c>
    </row>
    <row r="435" spans="1:9" hidden="1" x14ac:dyDescent="0.25">
      <c r="A435" s="102" t="s">
        <v>3230</v>
      </c>
      <c r="B435" s="103" t="s">
        <v>3231</v>
      </c>
      <c r="C435" s="104" t="s">
        <v>3229</v>
      </c>
      <c r="D435" s="104">
        <v>0</v>
      </c>
      <c r="E435" s="158" t="s">
        <v>1079</v>
      </c>
      <c r="F435" s="159" t="str">
        <f t="shared" si="18"/>
        <v/>
      </c>
      <c r="G435" s="160" t="e">
        <f>IF(A435&lt;&gt;"",IF(AND(#REF!="Padrão",$H$4=#REF!),BDI!$B$17,IF(AND(#REF!="Padrão",$H$4=#REF!),BDI!$C$17,IF(AND(#REF!="Diferenciado",$H$4=#REF!),BDI!$G$17,IF(AND(#REF!="Diferenciado",$H$4=#REF!),BDI!$H$17,IF(#REF!="ZERO",0))))),"")</f>
        <v>#REF!</v>
      </c>
      <c r="H435" s="161" t="str">
        <f t="shared" si="19"/>
        <v/>
      </c>
      <c r="I435" s="159" t="str">
        <f t="shared" si="20"/>
        <v/>
      </c>
    </row>
    <row r="436" spans="1:9" hidden="1" x14ac:dyDescent="0.25">
      <c r="A436" s="102" t="s">
        <v>3232</v>
      </c>
      <c r="B436" s="103" t="s">
        <v>3233</v>
      </c>
      <c r="C436" s="104" t="s">
        <v>3229</v>
      </c>
      <c r="D436" s="104">
        <v>0</v>
      </c>
      <c r="E436" s="158" t="s">
        <v>1079</v>
      </c>
      <c r="F436" s="159" t="str">
        <f t="shared" si="18"/>
        <v/>
      </c>
      <c r="G436" s="160" t="e">
        <f>IF(A436&lt;&gt;"",IF(AND(#REF!="Padrão",$H$4=#REF!),BDI!$B$17,IF(AND(#REF!="Padrão",$H$4=#REF!),BDI!$C$17,IF(AND(#REF!="Diferenciado",$H$4=#REF!),BDI!$G$17,IF(AND(#REF!="Diferenciado",$H$4=#REF!),BDI!$H$17,IF(#REF!="ZERO",0))))),"")</f>
        <v>#REF!</v>
      </c>
      <c r="H436" s="161" t="str">
        <f t="shared" si="19"/>
        <v/>
      </c>
      <c r="I436" s="159" t="str">
        <f t="shared" si="20"/>
        <v/>
      </c>
    </row>
    <row r="437" spans="1:9" hidden="1" x14ac:dyDescent="0.25">
      <c r="A437" s="102" t="s">
        <v>3234</v>
      </c>
      <c r="B437" s="103" t="s">
        <v>3235</v>
      </c>
      <c r="C437" s="104" t="s">
        <v>3229</v>
      </c>
      <c r="D437" s="104">
        <v>0</v>
      </c>
      <c r="E437" s="158" t="s">
        <v>1079</v>
      </c>
      <c r="F437" s="159" t="str">
        <f t="shared" si="18"/>
        <v/>
      </c>
      <c r="G437" s="160" t="e">
        <f>IF(A437&lt;&gt;"",IF(AND(#REF!="Padrão",$H$4=#REF!),BDI!$B$17,IF(AND(#REF!="Padrão",$H$4=#REF!),BDI!$C$17,IF(AND(#REF!="Diferenciado",$H$4=#REF!),BDI!$G$17,IF(AND(#REF!="Diferenciado",$H$4=#REF!),BDI!$H$17,IF(#REF!="ZERO",0))))),"")</f>
        <v>#REF!</v>
      </c>
      <c r="H437" s="161" t="str">
        <f t="shared" si="19"/>
        <v/>
      </c>
      <c r="I437" s="159" t="str">
        <f t="shared" si="20"/>
        <v/>
      </c>
    </row>
    <row r="438" spans="1:9" hidden="1" x14ac:dyDescent="0.25">
      <c r="A438" s="102" t="s">
        <v>3236</v>
      </c>
      <c r="B438" s="103" t="s">
        <v>3237</v>
      </c>
      <c r="C438" s="104" t="s">
        <v>3229</v>
      </c>
      <c r="D438" s="104">
        <v>0</v>
      </c>
      <c r="E438" s="158" t="s">
        <v>1079</v>
      </c>
      <c r="F438" s="159" t="str">
        <f t="shared" si="18"/>
        <v/>
      </c>
      <c r="G438" s="160" t="e">
        <f>IF(A438&lt;&gt;"",IF(AND(#REF!="Padrão",$H$4=#REF!),BDI!$B$17,IF(AND(#REF!="Padrão",$H$4=#REF!),BDI!$C$17,IF(AND(#REF!="Diferenciado",$H$4=#REF!),BDI!$G$17,IF(AND(#REF!="Diferenciado",$H$4=#REF!),BDI!$H$17,IF(#REF!="ZERO",0))))),"")</f>
        <v>#REF!</v>
      </c>
      <c r="H438" s="161" t="str">
        <f t="shared" si="19"/>
        <v/>
      </c>
      <c r="I438" s="159" t="str">
        <f t="shared" si="20"/>
        <v/>
      </c>
    </row>
    <row r="439" spans="1:9" hidden="1" x14ac:dyDescent="0.25">
      <c r="A439" s="102" t="s">
        <v>3238</v>
      </c>
      <c r="B439" s="103" t="s">
        <v>3239</v>
      </c>
      <c r="C439" s="104" t="s">
        <v>3229</v>
      </c>
      <c r="D439" s="104">
        <v>0</v>
      </c>
      <c r="E439" s="158" t="s">
        <v>1079</v>
      </c>
      <c r="F439" s="159" t="str">
        <f t="shared" si="18"/>
        <v/>
      </c>
      <c r="G439" s="160" t="e">
        <f>IF(A439&lt;&gt;"",IF(AND(#REF!="Padrão",$H$4=#REF!),BDI!$B$17,IF(AND(#REF!="Padrão",$H$4=#REF!),BDI!$C$17,IF(AND(#REF!="Diferenciado",$H$4=#REF!),BDI!$G$17,IF(AND(#REF!="Diferenciado",$H$4=#REF!),BDI!$H$17,IF(#REF!="ZERO",0))))),"")</f>
        <v>#REF!</v>
      </c>
      <c r="H439" s="161" t="str">
        <f t="shared" si="19"/>
        <v/>
      </c>
      <c r="I439" s="159" t="str">
        <f t="shared" si="20"/>
        <v/>
      </c>
    </row>
    <row r="440" spans="1:9" hidden="1" x14ac:dyDescent="0.25">
      <c r="A440" s="102" t="s">
        <v>3240</v>
      </c>
      <c r="B440" s="103" t="s">
        <v>3241</v>
      </c>
      <c r="C440" s="104" t="s">
        <v>32</v>
      </c>
      <c r="D440" s="104">
        <v>0</v>
      </c>
      <c r="E440" s="158" t="s">
        <v>1079</v>
      </c>
      <c r="F440" s="159" t="str">
        <f t="shared" si="18"/>
        <v/>
      </c>
      <c r="G440" s="160" t="e">
        <f>IF(A440&lt;&gt;"",IF(AND(#REF!="Padrão",$H$4=#REF!),BDI!$B$17,IF(AND(#REF!="Padrão",$H$4=#REF!),BDI!$C$17,IF(AND(#REF!="Diferenciado",$H$4=#REF!),BDI!$G$17,IF(AND(#REF!="Diferenciado",$H$4=#REF!),BDI!$H$17,IF(#REF!="ZERO",0))))),"")</f>
        <v>#REF!</v>
      </c>
      <c r="H440" s="161" t="str">
        <f t="shared" si="19"/>
        <v/>
      </c>
      <c r="I440" s="159" t="str">
        <f t="shared" si="20"/>
        <v/>
      </c>
    </row>
    <row r="441" spans="1:9" hidden="1" x14ac:dyDescent="0.25">
      <c r="A441" s="102" t="s">
        <v>3242</v>
      </c>
      <c r="B441" s="103" t="s">
        <v>3243</v>
      </c>
      <c r="C441" s="104" t="s">
        <v>32</v>
      </c>
      <c r="D441" s="104">
        <v>0</v>
      </c>
      <c r="E441" s="158" t="s">
        <v>1079</v>
      </c>
      <c r="F441" s="159" t="str">
        <f t="shared" si="18"/>
        <v/>
      </c>
      <c r="G441" s="160" t="e">
        <f>IF(A441&lt;&gt;"",IF(AND(#REF!="Padrão",$H$4=#REF!),BDI!$B$17,IF(AND(#REF!="Padrão",$H$4=#REF!),BDI!$C$17,IF(AND(#REF!="Diferenciado",$H$4=#REF!),BDI!$G$17,IF(AND(#REF!="Diferenciado",$H$4=#REF!),BDI!$H$17,IF(#REF!="ZERO",0))))),"")</f>
        <v>#REF!</v>
      </c>
      <c r="H441" s="161" t="str">
        <f t="shared" si="19"/>
        <v/>
      </c>
      <c r="I441" s="159" t="str">
        <f t="shared" si="20"/>
        <v/>
      </c>
    </row>
    <row r="442" spans="1:9" hidden="1" x14ac:dyDescent="0.25">
      <c r="A442" s="102" t="s">
        <v>3244</v>
      </c>
      <c r="B442" s="103" t="s">
        <v>3245</v>
      </c>
      <c r="C442" s="104" t="s">
        <v>32</v>
      </c>
      <c r="D442" s="104">
        <v>0</v>
      </c>
      <c r="E442" s="158" t="s">
        <v>1079</v>
      </c>
      <c r="F442" s="159" t="str">
        <f t="shared" si="18"/>
        <v/>
      </c>
      <c r="G442" s="160" t="e">
        <f>IF(A442&lt;&gt;"",IF(AND(#REF!="Padrão",$H$4=#REF!),BDI!$B$17,IF(AND(#REF!="Padrão",$H$4=#REF!),BDI!$C$17,IF(AND(#REF!="Diferenciado",$H$4=#REF!),BDI!$G$17,IF(AND(#REF!="Diferenciado",$H$4=#REF!),BDI!$H$17,IF(#REF!="ZERO",0))))),"")</f>
        <v>#REF!</v>
      </c>
      <c r="H442" s="161" t="str">
        <f t="shared" si="19"/>
        <v/>
      </c>
      <c r="I442" s="159" t="str">
        <f t="shared" si="20"/>
        <v/>
      </c>
    </row>
    <row r="443" spans="1:9" hidden="1" x14ac:dyDescent="0.25">
      <c r="A443" s="102" t="s">
        <v>3246</v>
      </c>
      <c r="B443" s="103" t="s">
        <v>3247</v>
      </c>
      <c r="C443" s="104" t="s">
        <v>32</v>
      </c>
      <c r="D443" s="104">
        <v>0</v>
      </c>
      <c r="E443" s="158" t="s">
        <v>1079</v>
      </c>
      <c r="F443" s="159" t="str">
        <f t="shared" si="18"/>
        <v/>
      </c>
      <c r="G443" s="160" t="e">
        <f>IF(A443&lt;&gt;"",IF(AND(#REF!="Padrão",$H$4=#REF!),BDI!$B$17,IF(AND(#REF!="Padrão",$H$4=#REF!),BDI!$C$17,IF(AND(#REF!="Diferenciado",$H$4=#REF!),BDI!$G$17,IF(AND(#REF!="Diferenciado",$H$4=#REF!),BDI!$H$17,IF(#REF!="ZERO",0))))),"")</f>
        <v>#REF!</v>
      </c>
      <c r="H443" s="161" t="str">
        <f t="shared" si="19"/>
        <v/>
      </c>
      <c r="I443" s="159" t="str">
        <f t="shared" si="20"/>
        <v/>
      </c>
    </row>
    <row r="444" spans="1:9" hidden="1" x14ac:dyDescent="0.25">
      <c r="A444" s="102" t="s">
        <v>3248</v>
      </c>
      <c r="B444" s="103" t="s">
        <v>3249</v>
      </c>
      <c r="C444" s="104" t="s">
        <v>32</v>
      </c>
      <c r="D444" s="104">
        <v>0</v>
      </c>
      <c r="E444" s="158" t="s">
        <v>1079</v>
      </c>
      <c r="F444" s="159" t="str">
        <f t="shared" si="18"/>
        <v/>
      </c>
      <c r="G444" s="160" t="e">
        <f>IF(A444&lt;&gt;"",IF(AND(#REF!="Padrão",$H$4=#REF!),BDI!$B$17,IF(AND(#REF!="Padrão",$H$4=#REF!),BDI!$C$17,IF(AND(#REF!="Diferenciado",$H$4=#REF!),BDI!$G$17,IF(AND(#REF!="Diferenciado",$H$4=#REF!),BDI!$H$17,IF(#REF!="ZERO",0))))),"")</f>
        <v>#REF!</v>
      </c>
      <c r="H444" s="161" t="str">
        <f t="shared" si="19"/>
        <v/>
      </c>
      <c r="I444" s="159" t="str">
        <f t="shared" si="20"/>
        <v/>
      </c>
    </row>
    <row r="445" spans="1:9" hidden="1" x14ac:dyDescent="0.25">
      <c r="A445" s="102" t="s">
        <v>3250</v>
      </c>
      <c r="B445" s="103" t="s">
        <v>3251</v>
      </c>
      <c r="C445" s="104" t="s">
        <v>32</v>
      </c>
      <c r="D445" s="104">
        <v>0</v>
      </c>
      <c r="E445" s="158" t="s">
        <v>1079</v>
      </c>
      <c r="F445" s="159" t="str">
        <f t="shared" si="18"/>
        <v/>
      </c>
      <c r="G445" s="160" t="e">
        <f>IF(A445&lt;&gt;"",IF(AND(#REF!="Padrão",$H$4=#REF!),BDI!$B$17,IF(AND(#REF!="Padrão",$H$4=#REF!),BDI!$C$17,IF(AND(#REF!="Diferenciado",$H$4=#REF!),BDI!$G$17,IF(AND(#REF!="Diferenciado",$H$4=#REF!),BDI!$H$17,IF(#REF!="ZERO",0))))),"")</f>
        <v>#REF!</v>
      </c>
      <c r="H445" s="161" t="str">
        <f t="shared" si="19"/>
        <v/>
      </c>
      <c r="I445" s="159" t="str">
        <f t="shared" si="20"/>
        <v/>
      </c>
    </row>
    <row r="446" spans="1:9" hidden="1" x14ac:dyDescent="0.25">
      <c r="A446" s="102" t="s">
        <v>3252</v>
      </c>
      <c r="B446" s="103" t="s">
        <v>3253</v>
      </c>
      <c r="C446" s="104" t="s">
        <v>32</v>
      </c>
      <c r="D446" s="104">
        <v>0</v>
      </c>
      <c r="E446" s="158" t="s">
        <v>1079</v>
      </c>
      <c r="F446" s="159" t="str">
        <f t="shared" si="18"/>
        <v/>
      </c>
      <c r="G446" s="160" t="e">
        <f>IF(A446&lt;&gt;"",IF(AND(#REF!="Padrão",$H$4=#REF!),BDI!$B$17,IF(AND(#REF!="Padrão",$H$4=#REF!),BDI!$C$17,IF(AND(#REF!="Diferenciado",$H$4=#REF!),BDI!$G$17,IF(AND(#REF!="Diferenciado",$H$4=#REF!),BDI!$H$17,IF(#REF!="ZERO",0))))),"")</f>
        <v>#REF!</v>
      </c>
      <c r="H446" s="161" t="str">
        <f t="shared" si="19"/>
        <v/>
      </c>
      <c r="I446" s="159" t="str">
        <f t="shared" si="20"/>
        <v/>
      </c>
    </row>
    <row r="447" spans="1:9" hidden="1" x14ac:dyDescent="0.25">
      <c r="A447" s="102" t="s">
        <v>3254</v>
      </c>
      <c r="B447" s="103" t="s">
        <v>3255</v>
      </c>
      <c r="C447" s="104" t="s">
        <v>32</v>
      </c>
      <c r="D447" s="104">
        <v>0</v>
      </c>
      <c r="E447" s="158" t="s">
        <v>1079</v>
      </c>
      <c r="F447" s="159" t="str">
        <f t="shared" si="18"/>
        <v/>
      </c>
      <c r="G447" s="160" t="e">
        <f>IF(A447&lt;&gt;"",IF(AND(#REF!="Padrão",$H$4=#REF!),BDI!$B$17,IF(AND(#REF!="Padrão",$H$4=#REF!),BDI!$C$17,IF(AND(#REF!="Diferenciado",$H$4=#REF!),BDI!$G$17,IF(AND(#REF!="Diferenciado",$H$4=#REF!),BDI!$H$17,IF(#REF!="ZERO",0))))),"")</f>
        <v>#REF!</v>
      </c>
      <c r="H447" s="161" t="str">
        <f t="shared" si="19"/>
        <v/>
      </c>
      <c r="I447" s="159" t="str">
        <f t="shared" si="20"/>
        <v/>
      </c>
    </row>
    <row r="448" spans="1:9" hidden="1" x14ac:dyDescent="0.25">
      <c r="A448" s="102" t="s">
        <v>3256</v>
      </c>
      <c r="B448" s="103" t="s">
        <v>3257</v>
      </c>
      <c r="C448" s="104" t="s">
        <v>32</v>
      </c>
      <c r="D448" s="104">
        <v>0</v>
      </c>
      <c r="E448" s="158" t="s">
        <v>1079</v>
      </c>
      <c r="F448" s="159" t="str">
        <f t="shared" si="18"/>
        <v/>
      </c>
      <c r="G448" s="160" t="e">
        <f>IF(A448&lt;&gt;"",IF(AND(#REF!="Padrão",$H$4=#REF!),BDI!$B$17,IF(AND(#REF!="Padrão",$H$4=#REF!),BDI!$C$17,IF(AND(#REF!="Diferenciado",$H$4=#REF!),BDI!$G$17,IF(AND(#REF!="Diferenciado",$H$4=#REF!),BDI!$H$17,IF(#REF!="ZERO",0))))),"")</f>
        <v>#REF!</v>
      </c>
      <c r="H448" s="161" t="str">
        <f t="shared" si="19"/>
        <v/>
      </c>
      <c r="I448" s="159" t="str">
        <f t="shared" si="20"/>
        <v/>
      </c>
    </row>
    <row r="449" spans="1:9" hidden="1" x14ac:dyDescent="0.25">
      <c r="A449" s="102" t="s">
        <v>3258</v>
      </c>
      <c r="B449" s="103" t="s">
        <v>3259</v>
      </c>
      <c r="C449" s="104" t="s">
        <v>32</v>
      </c>
      <c r="D449" s="104">
        <v>0</v>
      </c>
      <c r="E449" s="158" t="s">
        <v>1079</v>
      </c>
      <c r="F449" s="159" t="str">
        <f t="shared" si="18"/>
        <v/>
      </c>
      <c r="G449" s="160" t="e">
        <f>IF(A449&lt;&gt;"",IF(AND(#REF!="Padrão",$H$4=#REF!),BDI!$B$17,IF(AND(#REF!="Padrão",$H$4=#REF!),BDI!$C$17,IF(AND(#REF!="Diferenciado",$H$4=#REF!),BDI!$G$17,IF(AND(#REF!="Diferenciado",$H$4=#REF!),BDI!$H$17,IF(#REF!="ZERO",0))))),"")</f>
        <v>#REF!</v>
      </c>
      <c r="H449" s="161" t="str">
        <f t="shared" si="19"/>
        <v/>
      </c>
      <c r="I449" s="159" t="str">
        <f t="shared" si="20"/>
        <v/>
      </c>
    </row>
    <row r="450" spans="1:9" hidden="1" x14ac:dyDescent="0.25">
      <c r="A450" s="102" t="s">
        <v>3260</v>
      </c>
      <c r="B450" s="103" t="s">
        <v>3261</v>
      </c>
      <c r="C450" s="104" t="s">
        <v>32</v>
      </c>
      <c r="D450" s="104">
        <v>0</v>
      </c>
      <c r="E450" s="158" t="s">
        <v>1079</v>
      </c>
      <c r="F450" s="159" t="str">
        <f t="shared" si="18"/>
        <v/>
      </c>
      <c r="G450" s="160" t="e">
        <f>IF(A450&lt;&gt;"",IF(AND(#REF!="Padrão",$H$4=#REF!),BDI!$B$17,IF(AND(#REF!="Padrão",$H$4=#REF!),BDI!$C$17,IF(AND(#REF!="Diferenciado",$H$4=#REF!),BDI!$G$17,IF(AND(#REF!="Diferenciado",$H$4=#REF!),BDI!$H$17,IF(#REF!="ZERO",0))))),"")</f>
        <v>#REF!</v>
      </c>
      <c r="H450" s="161" t="str">
        <f t="shared" si="19"/>
        <v/>
      </c>
      <c r="I450" s="159" t="str">
        <f t="shared" si="20"/>
        <v/>
      </c>
    </row>
    <row r="451" spans="1:9" hidden="1" x14ac:dyDescent="0.25">
      <c r="A451" s="102" t="s">
        <v>3262</v>
      </c>
      <c r="B451" s="103" t="s">
        <v>3263</v>
      </c>
      <c r="C451" s="104" t="s">
        <v>32</v>
      </c>
      <c r="D451" s="104">
        <v>0</v>
      </c>
      <c r="E451" s="158" t="s">
        <v>1079</v>
      </c>
      <c r="F451" s="159" t="str">
        <f t="shared" si="18"/>
        <v/>
      </c>
      <c r="G451" s="160" t="e">
        <f>IF(A451&lt;&gt;"",IF(AND(#REF!="Padrão",$H$4=#REF!),BDI!$B$17,IF(AND(#REF!="Padrão",$H$4=#REF!),BDI!$C$17,IF(AND(#REF!="Diferenciado",$H$4=#REF!),BDI!$G$17,IF(AND(#REF!="Diferenciado",$H$4=#REF!),BDI!$H$17,IF(#REF!="ZERO",0))))),"")</f>
        <v>#REF!</v>
      </c>
      <c r="H451" s="161" t="str">
        <f t="shared" si="19"/>
        <v/>
      </c>
      <c r="I451" s="159" t="str">
        <f t="shared" si="20"/>
        <v/>
      </c>
    </row>
    <row r="452" spans="1:9" hidden="1" x14ac:dyDescent="0.25">
      <c r="A452" s="102" t="s">
        <v>3264</v>
      </c>
      <c r="B452" s="103" t="s">
        <v>3265</v>
      </c>
      <c r="C452" s="104" t="s">
        <v>32</v>
      </c>
      <c r="D452" s="104">
        <v>0</v>
      </c>
      <c r="E452" s="158" t="s">
        <v>1079</v>
      </c>
      <c r="F452" s="159" t="str">
        <f t="shared" si="18"/>
        <v/>
      </c>
      <c r="G452" s="160" t="e">
        <f>IF(A452&lt;&gt;"",IF(AND(#REF!="Padrão",$H$4=#REF!),BDI!$B$17,IF(AND(#REF!="Padrão",$H$4=#REF!),BDI!$C$17,IF(AND(#REF!="Diferenciado",$H$4=#REF!),BDI!$G$17,IF(AND(#REF!="Diferenciado",$H$4=#REF!),BDI!$H$17,IF(#REF!="ZERO",0))))),"")</f>
        <v>#REF!</v>
      </c>
      <c r="H452" s="161" t="str">
        <f t="shared" si="19"/>
        <v/>
      </c>
      <c r="I452" s="159" t="str">
        <f t="shared" si="20"/>
        <v/>
      </c>
    </row>
    <row r="453" spans="1:9" hidden="1" x14ac:dyDescent="0.25">
      <c r="A453" s="102" t="s">
        <v>3266</v>
      </c>
      <c r="B453" s="103" t="s">
        <v>3267</v>
      </c>
      <c r="C453" s="104" t="s">
        <v>32</v>
      </c>
      <c r="D453" s="104">
        <v>0</v>
      </c>
      <c r="E453" s="158" t="s">
        <v>1079</v>
      </c>
      <c r="F453" s="159" t="str">
        <f t="shared" si="18"/>
        <v/>
      </c>
      <c r="G453" s="160" t="e">
        <f>IF(A453&lt;&gt;"",IF(AND(#REF!="Padrão",$H$4=#REF!),BDI!$B$17,IF(AND(#REF!="Padrão",$H$4=#REF!),BDI!$C$17,IF(AND(#REF!="Diferenciado",$H$4=#REF!),BDI!$G$17,IF(AND(#REF!="Diferenciado",$H$4=#REF!),BDI!$H$17,IF(#REF!="ZERO",0))))),"")</f>
        <v>#REF!</v>
      </c>
      <c r="H453" s="161" t="str">
        <f t="shared" si="19"/>
        <v/>
      </c>
      <c r="I453" s="159" t="str">
        <f t="shared" si="20"/>
        <v/>
      </c>
    </row>
    <row r="454" spans="1:9" hidden="1" x14ac:dyDescent="0.25">
      <c r="A454" s="102" t="s">
        <v>3268</v>
      </c>
      <c r="B454" s="103" t="s">
        <v>3269</v>
      </c>
      <c r="C454" s="104" t="s">
        <v>32</v>
      </c>
      <c r="D454" s="104">
        <v>0</v>
      </c>
      <c r="E454" s="158" t="s">
        <v>1079</v>
      </c>
      <c r="F454" s="159" t="str">
        <f t="shared" si="18"/>
        <v/>
      </c>
      <c r="G454" s="160" t="e">
        <f>IF(A454&lt;&gt;"",IF(AND(#REF!="Padrão",$H$4=#REF!),BDI!$B$17,IF(AND(#REF!="Padrão",$H$4=#REF!),BDI!$C$17,IF(AND(#REF!="Diferenciado",$H$4=#REF!),BDI!$G$17,IF(AND(#REF!="Diferenciado",$H$4=#REF!),BDI!$H$17,IF(#REF!="ZERO",0))))),"")</f>
        <v>#REF!</v>
      </c>
      <c r="H454" s="161" t="str">
        <f t="shared" si="19"/>
        <v/>
      </c>
      <c r="I454" s="159" t="str">
        <f t="shared" si="20"/>
        <v/>
      </c>
    </row>
    <row r="455" spans="1:9" hidden="1" x14ac:dyDescent="0.25">
      <c r="A455" s="102" t="s">
        <v>3270</v>
      </c>
      <c r="B455" s="103" t="s">
        <v>3271</v>
      </c>
      <c r="C455" s="104" t="s">
        <v>32</v>
      </c>
      <c r="D455" s="104">
        <v>0</v>
      </c>
      <c r="E455" s="158" t="s">
        <v>1079</v>
      </c>
      <c r="F455" s="159" t="str">
        <f t="shared" ref="F455:F518" si="21">IF(ISNUMBER(E455),D455*E455,"")</f>
        <v/>
      </c>
      <c r="G455" s="160" t="e">
        <f>IF(A455&lt;&gt;"",IF(AND(#REF!="Padrão",$H$4=#REF!),BDI!$B$17,IF(AND(#REF!="Padrão",$H$4=#REF!),BDI!$C$17,IF(AND(#REF!="Diferenciado",$H$4=#REF!),BDI!$G$17,IF(AND(#REF!="Diferenciado",$H$4=#REF!),BDI!$H$17,IF(#REF!="ZERO",0))))),"")</f>
        <v>#REF!</v>
      </c>
      <c r="H455" s="161" t="str">
        <f t="shared" ref="H455:H518" si="22">IF(ISNUMBER(E455),ROUND(E455*(1+G455),2),"")</f>
        <v/>
      </c>
      <c r="I455" s="159" t="str">
        <f t="shared" ref="I455:I518" si="23">IF(ISNUMBER(E455),ROUND(H455*D455,2),"")</f>
        <v/>
      </c>
    </row>
    <row r="456" spans="1:9" hidden="1" x14ac:dyDescent="0.25">
      <c r="A456" s="102" t="s">
        <v>3272</v>
      </c>
      <c r="B456" s="103" t="s">
        <v>3273</v>
      </c>
      <c r="C456" s="104" t="s">
        <v>32</v>
      </c>
      <c r="D456" s="104">
        <v>0</v>
      </c>
      <c r="E456" s="158" t="s">
        <v>1079</v>
      </c>
      <c r="F456" s="159" t="str">
        <f t="shared" si="21"/>
        <v/>
      </c>
      <c r="G456" s="160" t="e">
        <f>IF(A456&lt;&gt;"",IF(AND(#REF!="Padrão",$H$4=#REF!),BDI!$B$17,IF(AND(#REF!="Padrão",$H$4=#REF!),BDI!$C$17,IF(AND(#REF!="Diferenciado",$H$4=#REF!),BDI!$G$17,IF(AND(#REF!="Diferenciado",$H$4=#REF!),BDI!$H$17,IF(#REF!="ZERO",0))))),"")</f>
        <v>#REF!</v>
      </c>
      <c r="H456" s="161" t="str">
        <f t="shared" si="22"/>
        <v/>
      </c>
      <c r="I456" s="159" t="str">
        <f t="shared" si="23"/>
        <v/>
      </c>
    </row>
    <row r="457" spans="1:9" hidden="1" x14ac:dyDescent="0.25">
      <c r="A457" s="102" t="s">
        <v>3274</v>
      </c>
      <c r="B457" s="103" t="s">
        <v>3275</v>
      </c>
      <c r="C457" s="104" t="s">
        <v>32</v>
      </c>
      <c r="D457" s="104">
        <v>0</v>
      </c>
      <c r="E457" s="158" t="s">
        <v>1079</v>
      </c>
      <c r="F457" s="159" t="str">
        <f t="shared" si="21"/>
        <v/>
      </c>
      <c r="G457" s="160" t="e">
        <f>IF(A457&lt;&gt;"",IF(AND(#REF!="Padrão",$H$4=#REF!),BDI!$B$17,IF(AND(#REF!="Padrão",$H$4=#REF!),BDI!$C$17,IF(AND(#REF!="Diferenciado",$H$4=#REF!),BDI!$G$17,IF(AND(#REF!="Diferenciado",$H$4=#REF!),BDI!$H$17,IF(#REF!="ZERO",0))))),"")</f>
        <v>#REF!</v>
      </c>
      <c r="H457" s="161" t="str">
        <f t="shared" si="22"/>
        <v/>
      </c>
      <c r="I457" s="159" t="str">
        <f t="shared" si="23"/>
        <v/>
      </c>
    </row>
    <row r="458" spans="1:9" hidden="1" x14ac:dyDescent="0.25">
      <c r="A458" s="102" t="s">
        <v>3276</v>
      </c>
      <c r="B458" s="103" t="s">
        <v>3277</v>
      </c>
      <c r="C458" s="104" t="s">
        <v>32</v>
      </c>
      <c r="D458" s="104">
        <v>0</v>
      </c>
      <c r="E458" s="158" t="s">
        <v>1079</v>
      </c>
      <c r="F458" s="159" t="str">
        <f t="shared" si="21"/>
        <v/>
      </c>
      <c r="G458" s="160" t="e">
        <f>IF(A458&lt;&gt;"",IF(AND(#REF!="Padrão",$H$4=#REF!),BDI!$B$17,IF(AND(#REF!="Padrão",$H$4=#REF!),BDI!$C$17,IF(AND(#REF!="Diferenciado",$H$4=#REF!),BDI!$G$17,IF(AND(#REF!="Diferenciado",$H$4=#REF!),BDI!$H$17,IF(#REF!="ZERO",0))))),"")</f>
        <v>#REF!</v>
      </c>
      <c r="H458" s="161" t="str">
        <f t="shared" si="22"/>
        <v/>
      </c>
      <c r="I458" s="159" t="str">
        <f t="shared" si="23"/>
        <v/>
      </c>
    </row>
    <row r="459" spans="1:9" hidden="1" x14ac:dyDescent="0.25">
      <c r="A459" s="102" t="s">
        <v>3278</v>
      </c>
      <c r="B459" s="103" t="s">
        <v>3279</v>
      </c>
      <c r="C459" s="104" t="s">
        <v>32</v>
      </c>
      <c r="D459" s="104">
        <v>0</v>
      </c>
      <c r="E459" s="158" t="s">
        <v>1079</v>
      </c>
      <c r="F459" s="159" t="str">
        <f t="shared" si="21"/>
        <v/>
      </c>
      <c r="G459" s="160" t="e">
        <f>IF(A459&lt;&gt;"",IF(AND(#REF!="Padrão",$H$4=#REF!),BDI!$B$17,IF(AND(#REF!="Padrão",$H$4=#REF!),BDI!$C$17,IF(AND(#REF!="Diferenciado",$H$4=#REF!),BDI!$G$17,IF(AND(#REF!="Diferenciado",$H$4=#REF!),BDI!$H$17,IF(#REF!="ZERO",0))))),"")</f>
        <v>#REF!</v>
      </c>
      <c r="H459" s="161" t="str">
        <f t="shared" si="22"/>
        <v/>
      </c>
      <c r="I459" s="159" t="str">
        <f t="shared" si="23"/>
        <v/>
      </c>
    </row>
    <row r="460" spans="1:9" hidden="1" x14ac:dyDescent="0.25">
      <c r="A460" s="102" t="s">
        <v>3280</v>
      </c>
      <c r="B460" s="103" t="s">
        <v>3281</v>
      </c>
      <c r="C460" s="104" t="s">
        <v>32</v>
      </c>
      <c r="D460" s="104">
        <v>0</v>
      </c>
      <c r="E460" s="158" t="s">
        <v>1079</v>
      </c>
      <c r="F460" s="159" t="str">
        <f t="shared" si="21"/>
        <v/>
      </c>
      <c r="G460" s="160" t="e">
        <f>IF(A460&lt;&gt;"",IF(AND(#REF!="Padrão",$H$4=#REF!),BDI!$B$17,IF(AND(#REF!="Padrão",$H$4=#REF!),BDI!$C$17,IF(AND(#REF!="Diferenciado",$H$4=#REF!),BDI!$G$17,IF(AND(#REF!="Diferenciado",$H$4=#REF!),BDI!$H$17,IF(#REF!="ZERO",0))))),"")</f>
        <v>#REF!</v>
      </c>
      <c r="H460" s="161" t="str">
        <f t="shared" si="22"/>
        <v/>
      </c>
      <c r="I460" s="159" t="str">
        <f t="shared" si="23"/>
        <v/>
      </c>
    </row>
    <row r="461" spans="1:9" ht="25.5" hidden="1" x14ac:dyDescent="0.25">
      <c r="A461" s="102" t="s">
        <v>3282</v>
      </c>
      <c r="B461" s="103" t="s">
        <v>3283</v>
      </c>
      <c r="C461" s="104" t="s">
        <v>32</v>
      </c>
      <c r="D461" s="104">
        <v>0</v>
      </c>
      <c r="E461" s="158" t="s">
        <v>1079</v>
      </c>
      <c r="F461" s="159" t="str">
        <f t="shared" si="21"/>
        <v/>
      </c>
      <c r="G461" s="160" t="e">
        <f>IF(A461&lt;&gt;"",IF(AND(#REF!="Padrão",$H$4=#REF!),BDI!$B$17,IF(AND(#REF!="Padrão",$H$4=#REF!),BDI!$C$17,IF(AND(#REF!="Diferenciado",$H$4=#REF!),BDI!$G$17,IF(AND(#REF!="Diferenciado",$H$4=#REF!),BDI!$H$17,IF(#REF!="ZERO",0))))),"")</f>
        <v>#REF!</v>
      </c>
      <c r="H461" s="161" t="str">
        <f t="shared" si="22"/>
        <v/>
      </c>
      <c r="I461" s="159" t="str">
        <f t="shared" si="23"/>
        <v/>
      </c>
    </row>
    <row r="462" spans="1:9" ht="25.5" hidden="1" x14ac:dyDescent="0.25">
      <c r="A462" s="102" t="s">
        <v>3284</v>
      </c>
      <c r="B462" s="103" t="s">
        <v>3285</v>
      </c>
      <c r="C462" s="104" t="s">
        <v>32</v>
      </c>
      <c r="D462" s="104">
        <v>0</v>
      </c>
      <c r="E462" s="158" t="s">
        <v>1079</v>
      </c>
      <c r="F462" s="159" t="str">
        <f t="shared" si="21"/>
        <v/>
      </c>
      <c r="G462" s="160" t="e">
        <f>IF(A462&lt;&gt;"",IF(AND(#REF!="Padrão",$H$4=#REF!),BDI!$B$17,IF(AND(#REF!="Padrão",$H$4=#REF!),BDI!$C$17,IF(AND(#REF!="Diferenciado",$H$4=#REF!),BDI!$G$17,IF(AND(#REF!="Diferenciado",$H$4=#REF!),BDI!$H$17,IF(#REF!="ZERO",0))))),"")</f>
        <v>#REF!</v>
      </c>
      <c r="H462" s="161" t="str">
        <f t="shared" si="22"/>
        <v/>
      </c>
      <c r="I462" s="159" t="str">
        <f t="shared" si="23"/>
        <v/>
      </c>
    </row>
    <row r="463" spans="1:9" hidden="1" x14ac:dyDescent="0.25">
      <c r="A463" s="102" t="s">
        <v>3286</v>
      </c>
      <c r="B463" s="103" t="s">
        <v>3287</v>
      </c>
      <c r="C463" s="104" t="s">
        <v>32</v>
      </c>
      <c r="D463" s="104">
        <v>0</v>
      </c>
      <c r="E463" s="158" t="s">
        <v>1079</v>
      </c>
      <c r="F463" s="159" t="str">
        <f t="shared" si="21"/>
        <v/>
      </c>
      <c r="G463" s="160" t="e">
        <f>IF(A463&lt;&gt;"",IF(AND(#REF!="Padrão",$H$4=#REF!),BDI!$B$17,IF(AND(#REF!="Padrão",$H$4=#REF!),BDI!$C$17,IF(AND(#REF!="Diferenciado",$H$4=#REF!),BDI!$G$17,IF(AND(#REF!="Diferenciado",$H$4=#REF!),BDI!$H$17,IF(#REF!="ZERO",0))))),"")</f>
        <v>#REF!</v>
      </c>
      <c r="H463" s="161" t="str">
        <f t="shared" si="22"/>
        <v/>
      </c>
      <c r="I463" s="159" t="str">
        <f t="shared" si="23"/>
        <v/>
      </c>
    </row>
    <row r="464" spans="1:9" hidden="1" x14ac:dyDescent="0.25">
      <c r="A464" s="102" t="s">
        <v>3288</v>
      </c>
      <c r="B464" s="103" t="s">
        <v>3289</v>
      </c>
      <c r="C464" s="104" t="s">
        <v>32</v>
      </c>
      <c r="D464" s="104">
        <v>0</v>
      </c>
      <c r="E464" s="158" t="s">
        <v>1079</v>
      </c>
      <c r="F464" s="159" t="str">
        <f t="shared" si="21"/>
        <v/>
      </c>
      <c r="G464" s="160" t="e">
        <f>IF(A464&lt;&gt;"",IF(AND(#REF!="Padrão",$H$4=#REF!),BDI!$B$17,IF(AND(#REF!="Padrão",$H$4=#REF!),BDI!$C$17,IF(AND(#REF!="Diferenciado",$H$4=#REF!),BDI!$G$17,IF(AND(#REF!="Diferenciado",$H$4=#REF!),BDI!$H$17,IF(#REF!="ZERO",0))))),"")</f>
        <v>#REF!</v>
      </c>
      <c r="H464" s="161" t="str">
        <f t="shared" si="22"/>
        <v/>
      </c>
      <c r="I464" s="159" t="str">
        <f t="shared" si="23"/>
        <v/>
      </c>
    </row>
    <row r="465" spans="1:9" hidden="1" x14ac:dyDescent="0.25">
      <c r="A465" s="102" t="s">
        <v>3290</v>
      </c>
      <c r="B465" s="103" t="s">
        <v>3291</v>
      </c>
      <c r="C465" s="104" t="s">
        <v>32</v>
      </c>
      <c r="D465" s="104">
        <v>0</v>
      </c>
      <c r="E465" s="158" t="s">
        <v>1079</v>
      </c>
      <c r="F465" s="159" t="str">
        <f t="shared" si="21"/>
        <v/>
      </c>
      <c r="G465" s="160" t="e">
        <f>IF(A465&lt;&gt;"",IF(AND(#REF!="Padrão",$H$4=#REF!),BDI!$B$17,IF(AND(#REF!="Padrão",$H$4=#REF!),BDI!$C$17,IF(AND(#REF!="Diferenciado",$H$4=#REF!),BDI!$G$17,IF(AND(#REF!="Diferenciado",$H$4=#REF!),BDI!$H$17,IF(#REF!="ZERO",0))))),"")</f>
        <v>#REF!</v>
      </c>
      <c r="H465" s="161" t="str">
        <f t="shared" si="22"/>
        <v/>
      </c>
      <c r="I465" s="159" t="str">
        <f t="shared" si="23"/>
        <v/>
      </c>
    </row>
    <row r="466" spans="1:9" hidden="1" x14ac:dyDescent="0.25">
      <c r="A466" s="102" t="s">
        <v>3292</v>
      </c>
      <c r="B466" s="103" t="s">
        <v>3293</v>
      </c>
      <c r="C466" s="104" t="s">
        <v>32</v>
      </c>
      <c r="D466" s="104">
        <v>0</v>
      </c>
      <c r="E466" s="158" t="s">
        <v>1079</v>
      </c>
      <c r="F466" s="159" t="str">
        <f t="shared" si="21"/>
        <v/>
      </c>
      <c r="G466" s="160" t="e">
        <f>IF(A466&lt;&gt;"",IF(AND(#REF!="Padrão",$H$4=#REF!),BDI!$B$17,IF(AND(#REF!="Padrão",$H$4=#REF!),BDI!$C$17,IF(AND(#REF!="Diferenciado",$H$4=#REF!),BDI!$G$17,IF(AND(#REF!="Diferenciado",$H$4=#REF!),BDI!$H$17,IF(#REF!="ZERO",0))))),"")</f>
        <v>#REF!</v>
      </c>
      <c r="H466" s="161" t="str">
        <f t="shared" si="22"/>
        <v/>
      </c>
      <c r="I466" s="159" t="str">
        <f t="shared" si="23"/>
        <v/>
      </c>
    </row>
    <row r="467" spans="1:9" hidden="1" x14ac:dyDescent="0.25">
      <c r="A467" s="102" t="s">
        <v>3294</v>
      </c>
      <c r="B467" s="103" t="s">
        <v>3295</v>
      </c>
      <c r="C467" s="104" t="s">
        <v>32</v>
      </c>
      <c r="D467" s="104">
        <v>0</v>
      </c>
      <c r="E467" s="158" t="s">
        <v>1079</v>
      </c>
      <c r="F467" s="159" t="str">
        <f t="shared" si="21"/>
        <v/>
      </c>
      <c r="G467" s="160" t="e">
        <f>IF(A467&lt;&gt;"",IF(AND(#REF!="Padrão",$H$4=#REF!),BDI!$B$17,IF(AND(#REF!="Padrão",$H$4=#REF!),BDI!$C$17,IF(AND(#REF!="Diferenciado",$H$4=#REF!),BDI!$G$17,IF(AND(#REF!="Diferenciado",$H$4=#REF!),BDI!$H$17,IF(#REF!="ZERO",0))))),"")</f>
        <v>#REF!</v>
      </c>
      <c r="H467" s="161" t="str">
        <f t="shared" si="22"/>
        <v/>
      </c>
      <c r="I467" s="159" t="str">
        <f t="shared" si="23"/>
        <v/>
      </c>
    </row>
    <row r="468" spans="1:9" hidden="1" x14ac:dyDescent="0.25">
      <c r="A468" s="102" t="s">
        <v>3296</v>
      </c>
      <c r="B468" s="103" t="s">
        <v>3297</v>
      </c>
      <c r="C468" s="104" t="s">
        <v>32</v>
      </c>
      <c r="D468" s="104">
        <v>0</v>
      </c>
      <c r="E468" s="158" t="s">
        <v>1079</v>
      </c>
      <c r="F468" s="159" t="str">
        <f t="shared" si="21"/>
        <v/>
      </c>
      <c r="G468" s="160" t="e">
        <f>IF(A468&lt;&gt;"",IF(AND(#REF!="Padrão",$H$4=#REF!),BDI!$B$17,IF(AND(#REF!="Padrão",$H$4=#REF!),BDI!$C$17,IF(AND(#REF!="Diferenciado",$H$4=#REF!),BDI!$G$17,IF(AND(#REF!="Diferenciado",$H$4=#REF!),BDI!$H$17,IF(#REF!="ZERO",0))))),"")</f>
        <v>#REF!</v>
      </c>
      <c r="H468" s="161" t="str">
        <f t="shared" si="22"/>
        <v/>
      </c>
      <c r="I468" s="159" t="str">
        <f t="shared" si="23"/>
        <v/>
      </c>
    </row>
    <row r="469" spans="1:9" hidden="1" x14ac:dyDescent="0.25">
      <c r="A469" s="102" t="s">
        <v>3298</v>
      </c>
      <c r="B469" s="103" t="s">
        <v>3299</v>
      </c>
      <c r="C469" s="104" t="s">
        <v>32</v>
      </c>
      <c r="D469" s="104">
        <v>0</v>
      </c>
      <c r="E469" s="158" t="s">
        <v>1079</v>
      </c>
      <c r="F469" s="159" t="str">
        <f t="shared" si="21"/>
        <v/>
      </c>
      <c r="G469" s="160" t="e">
        <f>IF(A469&lt;&gt;"",IF(AND(#REF!="Padrão",$H$4=#REF!),BDI!$B$17,IF(AND(#REF!="Padrão",$H$4=#REF!),BDI!$C$17,IF(AND(#REF!="Diferenciado",$H$4=#REF!),BDI!$G$17,IF(AND(#REF!="Diferenciado",$H$4=#REF!),BDI!$H$17,IF(#REF!="ZERO",0))))),"")</f>
        <v>#REF!</v>
      </c>
      <c r="H469" s="161" t="str">
        <f t="shared" si="22"/>
        <v/>
      </c>
      <c r="I469" s="159" t="str">
        <f t="shared" si="23"/>
        <v/>
      </c>
    </row>
    <row r="470" spans="1:9" hidden="1" x14ac:dyDescent="0.25">
      <c r="A470" s="102" t="s">
        <v>3300</v>
      </c>
      <c r="B470" s="103" t="s">
        <v>3301</v>
      </c>
      <c r="C470" s="104" t="s">
        <v>32</v>
      </c>
      <c r="D470" s="104">
        <v>0</v>
      </c>
      <c r="E470" s="158" t="s">
        <v>1079</v>
      </c>
      <c r="F470" s="159" t="str">
        <f t="shared" si="21"/>
        <v/>
      </c>
      <c r="G470" s="160" t="e">
        <f>IF(A470&lt;&gt;"",IF(AND(#REF!="Padrão",$H$4=#REF!),BDI!$B$17,IF(AND(#REF!="Padrão",$H$4=#REF!),BDI!$C$17,IF(AND(#REF!="Diferenciado",$H$4=#REF!),BDI!$G$17,IF(AND(#REF!="Diferenciado",$H$4=#REF!),BDI!$H$17,IF(#REF!="ZERO",0))))),"")</f>
        <v>#REF!</v>
      </c>
      <c r="H470" s="161" t="str">
        <f t="shared" si="22"/>
        <v/>
      </c>
      <c r="I470" s="159" t="str">
        <f t="shared" si="23"/>
        <v/>
      </c>
    </row>
    <row r="471" spans="1:9" hidden="1" x14ac:dyDescent="0.25">
      <c r="A471" s="102" t="s">
        <v>3302</v>
      </c>
      <c r="B471" s="103" t="s">
        <v>3303</v>
      </c>
      <c r="C471" s="104" t="s">
        <v>32</v>
      </c>
      <c r="D471" s="104">
        <v>0</v>
      </c>
      <c r="E471" s="158" t="s">
        <v>1079</v>
      </c>
      <c r="F471" s="159" t="str">
        <f t="shared" si="21"/>
        <v/>
      </c>
      <c r="G471" s="160" t="e">
        <f>IF(A471&lt;&gt;"",IF(AND(#REF!="Padrão",$H$4=#REF!),BDI!$B$17,IF(AND(#REF!="Padrão",$H$4=#REF!),BDI!$C$17,IF(AND(#REF!="Diferenciado",$H$4=#REF!),BDI!$G$17,IF(AND(#REF!="Diferenciado",$H$4=#REF!),BDI!$H$17,IF(#REF!="ZERO",0))))),"")</f>
        <v>#REF!</v>
      </c>
      <c r="H471" s="161" t="str">
        <f t="shared" si="22"/>
        <v/>
      </c>
      <c r="I471" s="159" t="str">
        <f t="shared" si="23"/>
        <v/>
      </c>
    </row>
    <row r="472" spans="1:9" hidden="1" x14ac:dyDescent="0.25">
      <c r="A472" s="102" t="s">
        <v>1439</v>
      </c>
      <c r="B472" s="103" t="s">
        <v>3304</v>
      </c>
      <c r="C472" s="104" t="s">
        <v>3305</v>
      </c>
      <c r="D472" s="104">
        <v>0</v>
      </c>
      <c r="E472" s="158">
        <f ca="1">OFFSET(INDEX(Composições!A:J,MATCH(Orçamentária!A472,Composições!A:A,0),10),2,0)</f>
        <v>21.222999999999999</v>
      </c>
      <c r="F472" s="159">
        <f t="shared" ca="1" si="21"/>
        <v>0</v>
      </c>
      <c r="G472" s="160" t="e">
        <f>IF(A472&lt;&gt;"",IF(AND(#REF!="Padrão",$H$4=#REF!),BDI!$B$17,IF(AND(#REF!="Padrão",$H$4=#REF!),BDI!$C$17,IF(AND(#REF!="Diferenciado",$H$4=#REF!),BDI!$G$17,IF(AND(#REF!="Diferenciado",$H$4=#REF!),BDI!$H$17,IF(#REF!="ZERO",0))))),"")</f>
        <v>#REF!</v>
      </c>
      <c r="H472" s="161" t="e">
        <f t="shared" ca="1" si="22"/>
        <v>#REF!</v>
      </c>
      <c r="I472" s="159" t="e">
        <f t="shared" ca="1" si="23"/>
        <v>#REF!</v>
      </c>
    </row>
    <row r="473" spans="1:9" hidden="1" x14ac:dyDescent="0.25">
      <c r="A473" s="102" t="s">
        <v>3306</v>
      </c>
      <c r="B473" s="103" t="s">
        <v>3307</v>
      </c>
      <c r="C473" s="104" t="s">
        <v>75</v>
      </c>
      <c r="D473" s="104">
        <v>0</v>
      </c>
      <c r="E473" s="158" t="s">
        <v>1079</v>
      </c>
      <c r="F473" s="159" t="str">
        <f t="shared" si="21"/>
        <v/>
      </c>
      <c r="G473" s="160" t="e">
        <f>IF(A473&lt;&gt;"",IF(AND(#REF!="Padrão",$H$4=#REF!),BDI!$B$17,IF(AND(#REF!="Padrão",$H$4=#REF!),BDI!$C$17,IF(AND(#REF!="Diferenciado",$H$4=#REF!),BDI!$G$17,IF(AND(#REF!="Diferenciado",$H$4=#REF!),BDI!$H$17,IF(#REF!="ZERO",0))))),"")</f>
        <v>#REF!</v>
      </c>
      <c r="H473" s="161" t="str">
        <f t="shared" si="22"/>
        <v/>
      </c>
      <c r="I473" s="159" t="str">
        <f t="shared" si="23"/>
        <v/>
      </c>
    </row>
    <row r="474" spans="1:9" hidden="1" x14ac:dyDescent="0.25">
      <c r="A474" s="102" t="s">
        <v>3308</v>
      </c>
      <c r="B474" s="103" t="s">
        <v>3309</v>
      </c>
      <c r="C474" s="104" t="s">
        <v>75</v>
      </c>
      <c r="D474" s="104">
        <v>0</v>
      </c>
      <c r="E474" s="158" t="s">
        <v>1079</v>
      </c>
      <c r="F474" s="159" t="str">
        <f t="shared" si="21"/>
        <v/>
      </c>
      <c r="G474" s="160" t="e">
        <f>IF(A474&lt;&gt;"",IF(AND(#REF!="Padrão",$H$4=#REF!),BDI!$B$17,IF(AND(#REF!="Padrão",$H$4=#REF!),BDI!$C$17,IF(AND(#REF!="Diferenciado",$H$4=#REF!),BDI!$G$17,IF(AND(#REF!="Diferenciado",$H$4=#REF!),BDI!$H$17,IF(#REF!="ZERO",0))))),"")</f>
        <v>#REF!</v>
      </c>
      <c r="H474" s="161" t="str">
        <f t="shared" si="22"/>
        <v/>
      </c>
      <c r="I474" s="159" t="str">
        <f t="shared" si="23"/>
        <v/>
      </c>
    </row>
    <row r="475" spans="1:9" hidden="1" x14ac:dyDescent="0.25">
      <c r="A475" s="102" t="s">
        <v>3310</v>
      </c>
      <c r="B475" s="103" t="s">
        <v>3311</v>
      </c>
      <c r="C475" s="104" t="s">
        <v>189</v>
      </c>
      <c r="D475" s="104">
        <v>0</v>
      </c>
      <c r="E475" s="158" t="s">
        <v>1079</v>
      </c>
      <c r="F475" s="159" t="str">
        <f t="shared" si="21"/>
        <v/>
      </c>
      <c r="G475" s="160" t="e">
        <f>IF(A475&lt;&gt;"",IF(AND(#REF!="Padrão",$H$4=#REF!),BDI!$B$17,IF(AND(#REF!="Padrão",$H$4=#REF!),BDI!$C$17,IF(AND(#REF!="Diferenciado",$H$4=#REF!),BDI!$G$17,IF(AND(#REF!="Diferenciado",$H$4=#REF!),BDI!$H$17,IF(#REF!="ZERO",0))))),"")</f>
        <v>#REF!</v>
      </c>
      <c r="H475" s="161" t="str">
        <f t="shared" si="22"/>
        <v/>
      </c>
      <c r="I475" s="159" t="str">
        <f t="shared" si="23"/>
        <v/>
      </c>
    </row>
    <row r="476" spans="1:9" hidden="1" x14ac:dyDescent="0.25">
      <c r="A476" s="102" t="s">
        <v>3312</v>
      </c>
      <c r="B476" s="103" t="s">
        <v>3313</v>
      </c>
      <c r="C476" s="104" t="s">
        <v>189</v>
      </c>
      <c r="D476" s="104">
        <v>0</v>
      </c>
      <c r="E476" s="158" t="s">
        <v>1079</v>
      </c>
      <c r="F476" s="159" t="str">
        <f t="shared" si="21"/>
        <v/>
      </c>
      <c r="G476" s="160" t="e">
        <f>IF(A476&lt;&gt;"",IF(AND(#REF!="Padrão",$H$4=#REF!),BDI!$B$17,IF(AND(#REF!="Padrão",$H$4=#REF!),BDI!$C$17,IF(AND(#REF!="Diferenciado",$H$4=#REF!),BDI!$G$17,IF(AND(#REF!="Diferenciado",$H$4=#REF!),BDI!$H$17,IF(#REF!="ZERO",0))))),"")</f>
        <v>#REF!</v>
      </c>
      <c r="H476" s="161" t="str">
        <f t="shared" si="22"/>
        <v/>
      </c>
      <c r="I476" s="159" t="str">
        <f t="shared" si="23"/>
        <v/>
      </c>
    </row>
    <row r="477" spans="1:9" hidden="1" x14ac:dyDescent="0.25">
      <c r="A477" s="102" t="s">
        <v>3314</v>
      </c>
      <c r="B477" s="103" t="s">
        <v>3315</v>
      </c>
      <c r="C477" s="104" t="s">
        <v>189</v>
      </c>
      <c r="D477" s="104">
        <v>0</v>
      </c>
      <c r="E477" s="158" t="s">
        <v>1079</v>
      </c>
      <c r="F477" s="159" t="str">
        <f t="shared" si="21"/>
        <v/>
      </c>
      <c r="G477" s="160" t="e">
        <f>IF(A477&lt;&gt;"",IF(AND(#REF!="Padrão",$H$4=#REF!),BDI!$B$17,IF(AND(#REF!="Padrão",$H$4=#REF!),BDI!$C$17,IF(AND(#REF!="Diferenciado",$H$4=#REF!),BDI!$G$17,IF(AND(#REF!="Diferenciado",$H$4=#REF!),BDI!$H$17,IF(#REF!="ZERO",0))))),"")</f>
        <v>#REF!</v>
      </c>
      <c r="H477" s="161" t="str">
        <f t="shared" si="22"/>
        <v/>
      </c>
      <c r="I477" s="159" t="str">
        <f t="shared" si="23"/>
        <v/>
      </c>
    </row>
    <row r="478" spans="1:9" hidden="1" x14ac:dyDescent="0.25">
      <c r="A478" s="102" t="s">
        <v>3316</v>
      </c>
      <c r="B478" s="103" t="s">
        <v>3317</v>
      </c>
      <c r="C478" s="104" t="s">
        <v>189</v>
      </c>
      <c r="D478" s="104">
        <v>0</v>
      </c>
      <c r="E478" s="158" t="s">
        <v>1079</v>
      </c>
      <c r="F478" s="159" t="str">
        <f t="shared" si="21"/>
        <v/>
      </c>
      <c r="G478" s="160" t="e">
        <f>IF(A478&lt;&gt;"",IF(AND(#REF!="Padrão",$H$4=#REF!),BDI!$B$17,IF(AND(#REF!="Padrão",$H$4=#REF!),BDI!$C$17,IF(AND(#REF!="Diferenciado",$H$4=#REF!),BDI!$G$17,IF(AND(#REF!="Diferenciado",$H$4=#REF!),BDI!$H$17,IF(#REF!="ZERO",0))))),"")</f>
        <v>#REF!</v>
      </c>
      <c r="H478" s="161" t="str">
        <f t="shared" si="22"/>
        <v/>
      </c>
      <c r="I478" s="159" t="str">
        <f t="shared" si="23"/>
        <v/>
      </c>
    </row>
    <row r="479" spans="1:9" hidden="1" x14ac:dyDescent="0.25">
      <c r="A479" s="102" t="s">
        <v>3318</v>
      </c>
      <c r="B479" s="103" t="s">
        <v>3319</v>
      </c>
      <c r="C479" s="104" t="s">
        <v>189</v>
      </c>
      <c r="D479" s="104">
        <v>0</v>
      </c>
      <c r="E479" s="158" t="s">
        <v>1079</v>
      </c>
      <c r="F479" s="159" t="str">
        <f t="shared" si="21"/>
        <v/>
      </c>
      <c r="G479" s="160" t="e">
        <f>IF(A479&lt;&gt;"",IF(AND(#REF!="Padrão",$H$4=#REF!),BDI!$B$17,IF(AND(#REF!="Padrão",$H$4=#REF!),BDI!$C$17,IF(AND(#REF!="Diferenciado",$H$4=#REF!),BDI!$G$17,IF(AND(#REF!="Diferenciado",$H$4=#REF!),BDI!$H$17,IF(#REF!="ZERO",0))))),"")</f>
        <v>#REF!</v>
      </c>
      <c r="H479" s="161" t="str">
        <f t="shared" si="22"/>
        <v/>
      </c>
      <c r="I479" s="159" t="str">
        <f t="shared" si="23"/>
        <v/>
      </c>
    </row>
    <row r="480" spans="1:9" hidden="1" x14ac:dyDescent="0.25">
      <c r="A480" s="102" t="s">
        <v>3320</v>
      </c>
      <c r="B480" s="103" t="s">
        <v>3321</v>
      </c>
      <c r="C480" s="104" t="s">
        <v>189</v>
      </c>
      <c r="D480" s="104">
        <v>0</v>
      </c>
      <c r="E480" s="158" t="s">
        <v>1079</v>
      </c>
      <c r="F480" s="159" t="str">
        <f t="shared" si="21"/>
        <v/>
      </c>
      <c r="G480" s="160" t="e">
        <f>IF(A480&lt;&gt;"",IF(AND(#REF!="Padrão",$H$4=#REF!),BDI!$B$17,IF(AND(#REF!="Padrão",$H$4=#REF!),BDI!$C$17,IF(AND(#REF!="Diferenciado",$H$4=#REF!),BDI!$G$17,IF(AND(#REF!="Diferenciado",$H$4=#REF!),BDI!$H$17,IF(#REF!="ZERO",0))))),"")</f>
        <v>#REF!</v>
      </c>
      <c r="H480" s="161" t="str">
        <f t="shared" si="22"/>
        <v/>
      </c>
      <c r="I480" s="159" t="str">
        <f t="shared" si="23"/>
        <v/>
      </c>
    </row>
    <row r="481" spans="1:9" hidden="1" x14ac:dyDescent="0.25">
      <c r="A481" s="102" t="s">
        <v>3322</v>
      </c>
      <c r="B481" s="103" t="s">
        <v>3323</v>
      </c>
      <c r="C481" s="104" t="s">
        <v>189</v>
      </c>
      <c r="D481" s="104">
        <v>0</v>
      </c>
      <c r="E481" s="158" t="s">
        <v>1079</v>
      </c>
      <c r="F481" s="159" t="str">
        <f t="shared" si="21"/>
        <v/>
      </c>
      <c r="G481" s="160" t="e">
        <f>IF(A481&lt;&gt;"",IF(AND(#REF!="Padrão",$H$4=#REF!),BDI!$B$17,IF(AND(#REF!="Padrão",$H$4=#REF!),BDI!$C$17,IF(AND(#REF!="Diferenciado",$H$4=#REF!),BDI!$G$17,IF(AND(#REF!="Diferenciado",$H$4=#REF!),BDI!$H$17,IF(#REF!="ZERO",0))))),"")</f>
        <v>#REF!</v>
      </c>
      <c r="H481" s="161" t="str">
        <f t="shared" si="22"/>
        <v/>
      </c>
      <c r="I481" s="159" t="str">
        <f t="shared" si="23"/>
        <v/>
      </c>
    </row>
    <row r="482" spans="1:9" hidden="1" x14ac:dyDescent="0.25">
      <c r="A482" s="102" t="s">
        <v>3324</v>
      </c>
      <c r="B482" s="103" t="s">
        <v>3325</v>
      </c>
      <c r="C482" s="104" t="s">
        <v>189</v>
      </c>
      <c r="D482" s="104">
        <v>0</v>
      </c>
      <c r="E482" s="158" t="s">
        <v>1079</v>
      </c>
      <c r="F482" s="159" t="str">
        <f t="shared" si="21"/>
        <v/>
      </c>
      <c r="G482" s="160" t="e">
        <f>IF(A482&lt;&gt;"",IF(AND(#REF!="Padrão",$H$4=#REF!),BDI!$B$17,IF(AND(#REF!="Padrão",$H$4=#REF!),BDI!$C$17,IF(AND(#REF!="Diferenciado",$H$4=#REF!),BDI!$G$17,IF(AND(#REF!="Diferenciado",$H$4=#REF!),BDI!$H$17,IF(#REF!="ZERO",0))))),"")</f>
        <v>#REF!</v>
      </c>
      <c r="H482" s="161" t="str">
        <f t="shared" si="22"/>
        <v/>
      </c>
      <c r="I482" s="159" t="str">
        <f t="shared" si="23"/>
        <v/>
      </c>
    </row>
    <row r="483" spans="1:9" hidden="1" x14ac:dyDescent="0.25">
      <c r="A483" s="102" t="s">
        <v>3326</v>
      </c>
      <c r="B483" s="103" t="s">
        <v>3327</v>
      </c>
      <c r="C483" s="104" t="s">
        <v>189</v>
      </c>
      <c r="D483" s="104">
        <v>0</v>
      </c>
      <c r="E483" s="158" t="s">
        <v>1079</v>
      </c>
      <c r="F483" s="159" t="str">
        <f t="shared" si="21"/>
        <v/>
      </c>
      <c r="G483" s="160" t="e">
        <f>IF(A483&lt;&gt;"",IF(AND(#REF!="Padrão",$H$4=#REF!),BDI!$B$17,IF(AND(#REF!="Padrão",$H$4=#REF!),BDI!$C$17,IF(AND(#REF!="Diferenciado",$H$4=#REF!),BDI!$G$17,IF(AND(#REF!="Diferenciado",$H$4=#REF!),BDI!$H$17,IF(#REF!="ZERO",0))))),"")</f>
        <v>#REF!</v>
      </c>
      <c r="H483" s="161" t="str">
        <f t="shared" si="22"/>
        <v/>
      </c>
      <c r="I483" s="159" t="str">
        <f t="shared" si="23"/>
        <v/>
      </c>
    </row>
    <row r="484" spans="1:9" hidden="1" x14ac:dyDescent="0.25">
      <c r="A484" s="102" t="s">
        <v>3328</v>
      </c>
      <c r="B484" s="103" t="s">
        <v>3329</v>
      </c>
      <c r="C484" s="104" t="s">
        <v>189</v>
      </c>
      <c r="D484" s="104">
        <v>0</v>
      </c>
      <c r="E484" s="158" t="s">
        <v>1079</v>
      </c>
      <c r="F484" s="159" t="str">
        <f t="shared" si="21"/>
        <v/>
      </c>
      <c r="G484" s="160" t="e">
        <f>IF(A484&lt;&gt;"",IF(AND(#REF!="Padrão",$H$4=#REF!),BDI!$B$17,IF(AND(#REF!="Padrão",$H$4=#REF!),BDI!$C$17,IF(AND(#REF!="Diferenciado",$H$4=#REF!),BDI!$G$17,IF(AND(#REF!="Diferenciado",$H$4=#REF!),BDI!$H$17,IF(#REF!="ZERO",0))))),"")</f>
        <v>#REF!</v>
      </c>
      <c r="H484" s="161" t="str">
        <f t="shared" si="22"/>
        <v/>
      </c>
      <c r="I484" s="159" t="str">
        <f t="shared" si="23"/>
        <v/>
      </c>
    </row>
    <row r="485" spans="1:9" hidden="1" x14ac:dyDescent="0.25">
      <c r="A485" s="102" t="s">
        <v>3330</v>
      </c>
      <c r="B485" s="103" t="s">
        <v>3331</v>
      </c>
      <c r="C485" s="104" t="s">
        <v>189</v>
      </c>
      <c r="D485" s="104">
        <v>0</v>
      </c>
      <c r="E485" s="158" t="s">
        <v>1079</v>
      </c>
      <c r="F485" s="159" t="str">
        <f t="shared" si="21"/>
        <v/>
      </c>
      <c r="G485" s="160" t="e">
        <f>IF(A485&lt;&gt;"",IF(AND(#REF!="Padrão",$H$4=#REF!),BDI!$B$17,IF(AND(#REF!="Padrão",$H$4=#REF!),BDI!$C$17,IF(AND(#REF!="Diferenciado",$H$4=#REF!),BDI!$G$17,IF(AND(#REF!="Diferenciado",$H$4=#REF!),BDI!$H$17,IF(#REF!="ZERO",0))))),"")</f>
        <v>#REF!</v>
      </c>
      <c r="H485" s="161" t="str">
        <f t="shared" si="22"/>
        <v/>
      </c>
      <c r="I485" s="159" t="str">
        <f t="shared" si="23"/>
        <v/>
      </c>
    </row>
    <row r="486" spans="1:9" hidden="1" x14ac:dyDescent="0.25">
      <c r="A486" s="102" t="s">
        <v>3332</v>
      </c>
      <c r="B486" s="103" t="s">
        <v>3333</v>
      </c>
      <c r="C486" s="104" t="s">
        <v>189</v>
      </c>
      <c r="D486" s="104">
        <v>0</v>
      </c>
      <c r="E486" s="158" t="s">
        <v>1079</v>
      </c>
      <c r="F486" s="159" t="str">
        <f t="shared" si="21"/>
        <v/>
      </c>
      <c r="G486" s="160" t="e">
        <f>IF(A486&lt;&gt;"",IF(AND(#REF!="Padrão",$H$4=#REF!),BDI!$B$17,IF(AND(#REF!="Padrão",$H$4=#REF!),BDI!$C$17,IF(AND(#REF!="Diferenciado",$H$4=#REF!),BDI!$G$17,IF(AND(#REF!="Diferenciado",$H$4=#REF!),BDI!$H$17,IF(#REF!="ZERO",0))))),"")</f>
        <v>#REF!</v>
      </c>
      <c r="H486" s="161" t="str">
        <f t="shared" si="22"/>
        <v/>
      </c>
      <c r="I486" s="159" t="str">
        <f t="shared" si="23"/>
        <v/>
      </c>
    </row>
    <row r="487" spans="1:9" hidden="1" x14ac:dyDescent="0.25">
      <c r="A487" s="102" t="s">
        <v>3334</v>
      </c>
      <c r="B487" s="103" t="s">
        <v>3335</v>
      </c>
      <c r="C487" s="104" t="s">
        <v>189</v>
      </c>
      <c r="D487" s="104">
        <v>0</v>
      </c>
      <c r="E487" s="158" t="s">
        <v>1079</v>
      </c>
      <c r="F487" s="159" t="str">
        <f t="shared" si="21"/>
        <v/>
      </c>
      <c r="G487" s="160" t="e">
        <f>IF(A487&lt;&gt;"",IF(AND(#REF!="Padrão",$H$4=#REF!),BDI!$B$17,IF(AND(#REF!="Padrão",$H$4=#REF!),BDI!$C$17,IF(AND(#REF!="Diferenciado",$H$4=#REF!),BDI!$G$17,IF(AND(#REF!="Diferenciado",$H$4=#REF!),BDI!$H$17,IF(#REF!="ZERO",0))))),"")</f>
        <v>#REF!</v>
      </c>
      <c r="H487" s="161" t="str">
        <f t="shared" si="22"/>
        <v/>
      </c>
      <c r="I487" s="159" t="str">
        <f t="shared" si="23"/>
        <v/>
      </c>
    </row>
    <row r="488" spans="1:9" hidden="1" x14ac:dyDescent="0.25">
      <c r="A488" s="102" t="s">
        <v>3336</v>
      </c>
      <c r="B488" s="103" t="s">
        <v>3337</v>
      </c>
      <c r="C488" s="104" t="s">
        <v>189</v>
      </c>
      <c r="D488" s="104">
        <v>0</v>
      </c>
      <c r="E488" s="158" t="s">
        <v>1079</v>
      </c>
      <c r="F488" s="159" t="str">
        <f t="shared" si="21"/>
        <v/>
      </c>
      <c r="G488" s="160" t="e">
        <f>IF(A488&lt;&gt;"",IF(AND(#REF!="Padrão",$H$4=#REF!),BDI!$B$17,IF(AND(#REF!="Padrão",$H$4=#REF!),BDI!$C$17,IF(AND(#REF!="Diferenciado",$H$4=#REF!),BDI!$G$17,IF(AND(#REF!="Diferenciado",$H$4=#REF!),BDI!$H$17,IF(#REF!="ZERO",0))))),"")</f>
        <v>#REF!</v>
      </c>
      <c r="H488" s="161" t="str">
        <f t="shared" si="22"/>
        <v/>
      </c>
      <c r="I488" s="159" t="str">
        <f t="shared" si="23"/>
        <v/>
      </c>
    </row>
    <row r="489" spans="1:9" hidden="1" x14ac:dyDescent="0.25">
      <c r="A489" s="102" t="s">
        <v>3338</v>
      </c>
      <c r="B489" s="103" t="s">
        <v>3339</v>
      </c>
      <c r="C489" s="104" t="s">
        <v>189</v>
      </c>
      <c r="D489" s="104">
        <v>0</v>
      </c>
      <c r="E489" s="158" t="s">
        <v>1079</v>
      </c>
      <c r="F489" s="159" t="str">
        <f t="shared" si="21"/>
        <v/>
      </c>
      <c r="G489" s="160" t="e">
        <f>IF(A489&lt;&gt;"",IF(AND(#REF!="Padrão",$H$4=#REF!),BDI!$B$17,IF(AND(#REF!="Padrão",$H$4=#REF!),BDI!$C$17,IF(AND(#REF!="Diferenciado",$H$4=#REF!),BDI!$G$17,IF(AND(#REF!="Diferenciado",$H$4=#REF!),BDI!$H$17,IF(#REF!="ZERO",0))))),"")</f>
        <v>#REF!</v>
      </c>
      <c r="H489" s="161" t="str">
        <f t="shared" si="22"/>
        <v/>
      </c>
      <c r="I489" s="159" t="str">
        <f t="shared" si="23"/>
        <v/>
      </c>
    </row>
    <row r="490" spans="1:9" hidden="1" x14ac:dyDescent="0.25">
      <c r="A490" s="102" t="s">
        <v>3340</v>
      </c>
      <c r="B490" s="103" t="s">
        <v>3341</v>
      </c>
      <c r="C490" s="104" t="s">
        <v>189</v>
      </c>
      <c r="D490" s="104">
        <v>0</v>
      </c>
      <c r="E490" s="158" t="s">
        <v>1079</v>
      </c>
      <c r="F490" s="159" t="str">
        <f t="shared" si="21"/>
        <v/>
      </c>
      <c r="G490" s="160" t="e">
        <f>IF(A490&lt;&gt;"",IF(AND(#REF!="Padrão",$H$4=#REF!),BDI!$B$17,IF(AND(#REF!="Padrão",$H$4=#REF!),BDI!$C$17,IF(AND(#REF!="Diferenciado",$H$4=#REF!),BDI!$G$17,IF(AND(#REF!="Diferenciado",$H$4=#REF!),BDI!$H$17,IF(#REF!="ZERO",0))))),"")</f>
        <v>#REF!</v>
      </c>
      <c r="H490" s="161" t="str">
        <f t="shared" si="22"/>
        <v/>
      </c>
      <c r="I490" s="159" t="str">
        <f t="shared" si="23"/>
        <v/>
      </c>
    </row>
    <row r="491" spans="1:9" hidden="1" x14ac:dyDescent="0.25">
      <c r="A491" s="102" t="s">
        <v>3342</v>
      </c>
      <c r="B491" s="103" t="s">
        <v>3343</v>
      </c>
      <c r="C491" s="104" t="s">
        <v>228</v>
      </c>
      <c r="D491" s="104">
        <v>0</v>
      </c>
      <c r="E491" s="158" t="s">
        <v>1079</v>
      </c>
      <c r="F491" s="159" t="str">
        <f t="shared" si="21"/>
        <v/>
      </c>
      <c r="G491" s="160" t="e">
        <f>IF(A491&lt;&gt;"",IF(AND(#REF!="Padrão",$H$4=#REF!),BDI!$B$17,IF(AND(#REF!="Padrão",$H$4=#REF!),BDI!$C$17,IF(AND(#REF!="Diferenciado",$H$4=#REF!),BDI!$G$17,IF(AND(#REF!="Diferenciado",$H$4=#REF!),BDI!$H$17,IF(#REF!="ZERO",0))))),"")</f>
        <v>#REF!</v>
      </c>
      <c r="H491" s="161" t="str">
        <f t="shared" si="22"/>
        <v/>
      </c>
      <c r="I491" s="159" t="str">
        <f t="shared" si="23"/>
        <v/>
      </c>
    </row>
    <row r="492" spans="1:9" hidden="1" x14ac:dyDescent="0.25">
      <c r="A492" s="102" t="s">
        <v>3344</v>
      </c>
      <c r="B492" s="103" t="s">
        <v>3345</v>
      </c>
      <c r="C492" s="104" t="s">
        <v>228</v>
      </c>
      <c r="D492" s="104">
        <v>0</v>
      </c>
      <c r="E492" s="158" t="s">
        <v>1079</v>
      </c>
      <c r="F492" s="159" t="str">
        <f t="shared" si="21"/>
        <v/>
      </c>
      <c r="G492" s="160" t="e">
        <f>IF(A492&lt;&gt;"",IF(AND(#REF!="Padrão",$H$4=#REF!),BDI!$B$17,IF(AND(#REF!="Padrão",$H$4=#REF!),BDI!$C$17,IF(AND(#REF!="Diferenciado",$H$4=#REF!),BDI!$G$17,IF(AND(#REF!="Diferenciado",$H$4=#REF!),BDI!$H$17,IF(#REF!="ZERO",0))))),"")</f>
        <v>#REF!</v>
      </c>
      <c r="H492" s="161" t="str">
        <f t="shared" si="22"/>
        <v/>
      </c>
      <c r="I492" s="159" t="str">
        <f t="shared" si="23"/>
        <v/>
      </c>
    </row>
    <row r="493" spans="1:9" hidden="1" x14ac:dyDescent="0.25">
      <c r="A493" s="102" t="s">
        <v>3346</v>
      </c>
      <c r="B493" s="103" t="s">
        <v>3347</v>
      </c>
      <c r="C493" s="104" t="s">
        <v>228</v>
      </c>
      <c r="D493" s="104">
        <v>0</v>
      </c>
      <c r="E493" s="158" t="s">
        <v>1079</v>
      </c>
      <c r="F493" s="159" t="str">
        <f t="shared" si="21"/>
        <v/>
      </c>
      <c r="G493" s="160" t="e">
        <f>IF(A493&lt;&gt;"",IF(AND(#REF!="Padrão",$H$4=#REF!),BDI!$B$17,IF(AND(#REF!="Padrão",$H$4=#REF!),BDI!$C$17,IF(AND(#REF!="Diferenciado",$H$4=#REF!),BDI!$G$17,IF(AND(#REF!="Diferenciado",$H$4=#REF!),BDI!$H$17,IF(#REF!="ZERO",0))))),"")</f>
        <v>#REF!</v>
      </c>
      <c r="H493" s="161" t="str">
        <f t="shared" si="22"/>
        <v/>
      </c>
      <c r="I493" s="159" t="str">
        <f t="shared" si="23"/>
        <v/>
      </c>
    </row>
    <row r="494" spans="1:9" hidden="1" x14ac:dyDescent="0.25">
      <c r="A494" s="102" t="s">
        <v>3348</v>
      </c>
      <c r="B494" s="103" t="s">
        <v>3349</v>
      </c>
      <c r="C494" s="104" t="s">
        <v>228</v>
      </c>
      <c r="D494" s="104">
        <v>0</v>
      </c>
      <c r="E494" s="158" t="s">
        <v>1079</v>
      </c>
      <c r="F494" s="159" t="str">
        <f t="shared" si="21"/>
        <v/>
      </c>
      <c r="G494" s="160" t="e">
        <f>IF(A494&lt;&gt;"",IF(AND(#REF!="Padrão",$H$4=#REF!),BDI!$B$17,IF(AND(#REF!="Padrão",$H$4=#REF!),BDI!$C$17,IF(AND(#REF!="Diferenciado",$H$4=#REF!),BDI!$G$17,IF(AND(#REF!="Diferenciado",$H$4=#REF!),BDI!$H$17,IF(#REF!="ZERO",0))))),"")</f>
        <v>#REF!</v>
      </c>
      <c r="H494" s="161" t="str">
        <f t="shared" si="22"/>
        <v/>
      </c>
      <c r="I494" s="159" t="str">
        <f t="shared" si="23"/>
        <v/>
      </c>
    </row>
    <row r="495" spans="1:9" hidden="1" x14ac:dyDescent="0.25">
      <c r="A495" s="102" t="s">
        <v>3350</v>
      </c>
      <c r="B495" s="103" t="s">
        <v>3351</v>
      </c>
      <c r="C495" s="104" t="s">
        <v>184</v>
      </c>
      <c r="D495" s="104">
        <v>0</v>
      </c>
      <c r="E495" s="158" t="s">
        <v>1079</v>
      </c>
      <c r="F495" s="159" t="str">
        <f t="shared" si="21"/>
        <v/>
      </c>
      <c r="G495" s="160" t="e">
        <f>IF(A495&lt;&gt;"",IF(AND(#REF!="Padrão",$H$4=#REF!),BDI!$B$17,IF(AND(#REF!="Padrão",$H$4=#REF!),BDI!$C$17,IF(AND(#REF!="Diferenciado",$H$4=#REF!),BDI!$G$17,IF(AND(#REF!="Diferenciado",$H$4=#REF!),BDI!$H$17,IF(#REF!="ZERO",0))))),"")</f>
        <v>#REF!</v>
      </c>
      <c r="H495" s="161" t="str">
        <f t="shared" si="22"/>
        <v/>
      </c>
      <c r="I495" s="159" t="str">
        <f t="shared" si="23"/>
        <v/>
      </c>
    </row>
    <row r="496" spans="1:9" hidden="1" x14ac:dyDescent="0.25">
      <c r="A496" s="102" t="s">
        <v>3352</v>
      </c>
      <c r="B496" s="103" t="s">
        <v>3353</v>
      </c>
      <c r="C496" s="104" t="s">
        <v>184</v>
      </c>
      <c r="D496" s="104">
        <v>0</v>
      </c>
      <c r="E496" s="158" t="s">
        <v>1079</v>
      </c>
      <c r="F496" s="159" t="str">
        <f t="shared" si="21"/>
        <v/>
      </c>
      <c r="G496" s="160" t="e">
        <f>IF(A496&lt;&gt;"",IF(AND(#REF!="Padrão",$H$4=#REF!),BDI!$B$17,IF(AND(#REF!="Padrão",$H$4=#REF!),BDI!$C$17,IF(AND(#REF!="Diferenciado",$H$4=#REF!),BDI!$G$17,IF(AND(#REF!="Diferenciado",$H$4=#REF!),BDI!$H$17,IF(#REF!="ZERO",0))))),"")</f>
        <v>#REF!</v>
      </c>
      <c r="H496" s="161" t="str">
        <f t="shared" si="22"/>
        <v/>
      </c>
      <c r="I496" s="159" t="str">
        <f t="shared" si="23"/>
        <v/>
      </c>
    </row>
    <row r="497" spans="1:9" hidden="1" x14ac:dyDescent="0.25">
      <c r="A497" s="102" t="s">
        <v>3354</v>
      </c>
      <c r="B497" s="103" t="s">
        <v>3355</v>
      </c>
      <c r="C497" s="104" t="s">
        <v>184</v>
      </c>
      <c r="D497" s="104">
        <v>0</v>
      </c>
      <c r="E497" s="158" t="s">
        <v>1079</v>
      </c>
      <c r="F497" s="159" t="str">
        <f t="shared" si="21"/>
        <v/>
      </c>
      <c r="G497" s="160" t="e">
        <f>IF(A497&lt;&gt;"",IF(AND(#REF!="Padrão",$H$4=#REF!),BDI!$B$17,IF(AND(#REF!="Padrão",$H$4=#REF!),BDI!$C$17,IF(AND(#REF!="Diferenciado",$H$4=#REF!),BDI!$G$17,IF(AND(#REF!="Diferenciado",$H$4=#REF!),BDI!$H$17,IF(#REF!="ZERO",0))))),"")</f>
        <v>#REF!</v>
      </c>
      <c r="H497" s="161" t="str">
        <f t="shared" si="22"/>
        <v/>
      </c>
      <c r="I497" s="159" t="str">
        <f t="shared" si="23"/>
        <v/>
      </c>
    </row>
    <row r="498" spans="1:9" hidden="1" x14ac:dyDescent="0.25">
      <c r="A498" s="102" t="s">
        <v>3356</v>
      </c>
      <c r="B498" s="103" t="s">
        <v>3357</v>
      </c>
      <c r="C498" s="104" t="s">
        <v>184</v>
      </c>
      <c r="D498" s="104">
        <v>0</v>
      </c>
      <c r="E498" s="158" t="s">
        <v>1079</v>
      </c>
      <c r="F498" s="159" t="str">
        <f t="shared" si="21"/>
        <v/>
      </c>
      <c r="G498" s="160" t="e">
        <f>IF(A498&lt;&gt;"",IF(AND(#REF!="Padrão",$H$4=#REF!),BDI!$B$17,IF(AND(#REF!="Padrão",$H$4=#REF!),BDI!$C$17,IF(AND(#REF!="Diferenciado",$H$4=#REF!),BDI!$G$17,IF(AND(#REF!="Diferenciado",$H$4=#REF!),BDI!$H$17,IF(#REF!="ZERO",0))))),"")</f>
        <v>#REF!</v>
      </c>
      <c r="H498" s="161" t="str">
        <f t="shared" si="22"/>
        <v/>
      </c>
      <c r="I498" s="159" t="str">
        <f t="shared" si="23"/>
        <v/>
      </c>
    </row>
    <row r="499" spans="1:9" hidden="1" x14ac:dyDescent="0.25">
      <c r="A499" s="102" t="s">
        <v>3358</v>
      </c>
      <c r="B499" s="103" t="s">
        <v>3359</v>
      </c>
      <c r="C499" s="104" t="s">
        <v>189</v>
      </c>
      <c r="D499" s="104">
        <v>0</v>
      </c>
      <c r="E499" s="158" t="s">
        <v>1079</v>
      </c>
      <c r="F499" s="159" t="str">
        <f t="shared" si="21"/>
        <v/>
      </c>
      <c r="G499" s="160" t="e">
        <f>IF(A499&lt;&gt;"",IF(AND(#REF!="Padrão",$H$4=#REF!),BDI!$B$17,IF(AND(#REF!="Padrão",$H$4=#REF!),BDI!$C$17,IF(AND(#REF!="Diferenciado",$H$4=#REF!),BDI!$G$17,IF(AND(#REF!="Diferenciado",$H$4=#REF!),BDI!$H$17,IF(#REF!="ZERO",0))))),"")</f>
        <v>#REF!</v>
      </c>
      <c r="H499" s="161" t="str">
        <f t="shared" si="22"/>
        <v/>
      </c>
      <c r="I499" s="159" t="str">
        <f t="shared" si="23"/>
        <v/>
      </c>
    </row>
    <row r="500" spans="1:9" hidden="1" x14ac:dyDescent="0.25">
      <c r="A500" s="102" t="s">
        <v>3360</v>
      </c>
      <c r="B500" s="103" t="s">
        <v>3361</v>
      </c>
      <c r="C500" s="104" t="s">
        <v>189</v>
      </c>
      <c r="D500" s="104">
        <v>0</v>
      </c>
      <c r="E500" s="158" t="s">
        <v>1079</v>
      </c>
      <c r="F500" s="159" t="str">
        <f t="shared" si="21"/>
        <v/>
      </c>
      <c r="G500" s="160" t="e">
        <f>IF(A500&lt;&gt;"",IF(AND(#REF!="Padrão",$H$4=#REF!),BDI!$B$17,IF(AND(#REF!="Padrão",$H$4=#REF!),BDI!$C$17,IF(AND(#REF!="Diferenciado",$H$4=#REF!),BDI!$G$17,IF(AND(#REF!="Diferenciado",$H$4=#REF!),BDI!$H$17,IF(#REF!="ZERO",0))))),"")</f>
        <v>#REF!</v>
      </c>
      <c r="H500" s="161" t="str">
        <f t="shared" si="22"/>
        <v/>
      </c>
      <c r="I500" s="159" t="str">
        <f t="shared" si="23"/>
        <v/>
      </c>
    </row>
    <row r="501" spans="1:9" hidden="1" x14ac:dyDescent="0.25">
      <c r="A501" s="102" t="s">
        <v>3362</v>
      </c>
      <c r="B501" s="103" t="s">
        <v>3363</v>
      </c>
      <c r="C501" s="104" t="s">
        <v>189</v>
      </c>
      <c r="D501" s="104">
        <v>0</v>
      </c>
      <c r="E501" s="158" t="s">
        <v>1079</v>
      </c>
      <c r="F501" s="159" t="str">
        <f t="shared" si="21"/>
        <v/>
      </c>
      <c r="G501" s="160" t="e">
        <f>IF(A501&lt;&gt;"",IF(AND(#REF!="Padrão",$H$4=#REF!),BDI!$B$17,IF(AND(#REF!="Padrão",$H$4=#REF!),BDI!$C$17,IF(AND(#REF!="Diferenciado",$H$4=#REF!),BDI!$G$17,IF(AND(#REF!="Diferenciado",$H$4=#REF!),BDI!$H$17,IF(#REF!="ZERO",0))))),"")</f>
        <v>#REF!</v>
      </c>
      <c r="H501" s="161" t="str">
        <f t="shared" si="22"/>
        <v/>
      </c>
      <c r="I501" s="159" t="str">
        <f t="shared" si="23"/>
        <v/>
      </c>
    </row>
    <row r="502" spans="1:9" hidden="1" x14ac:dyDescent="0.25">
      <c r="A502" s="102" t="s">
        <v>3364</v>
      </c>
      <c r="B502" s="103" t="s">
        <v>3365</v>
      </c>
      <c r="C502" s="104" t="s">
        <v>189</v>
      </c>
      <c r="D502" s="104">
        <v>0</v>
      </c>
      <c r="E502" s="158" t="s">
        <v>1079</v>
      </c>
      <c r="F502" s="159" t="str">
        <f t="shared" si="21"/>
        <v/>
      </c>
      <c r="G502" s="160" t="e">
        <f>IF(A502&lt;&gt;"",IF(AND(#REF!="Padrão",$H$4=#REF!),BDI!$B$17,IF(AND(#REF!="Padrão",$H$4=#REF!),BDI!$C$17,IF(AND(#REF!="Diferenciado",$H$4=#REF!),BDI!$G$17,IF(AND(#REF!="Diferenciado",$H$4=#REF!),BDI!$H$17,IF(#REF!="ZERO",0))))),"")</f>
        <v>#REF!</v>
      </c>
      <c r="H502" s="161" t="str">
        <f t="shared" si="22"/>
        <v/>
      </c>
      <c r="I502" s="159" t="str">
        <f t="shared" si="23"/>
        <v/>
      </c>
    </row>
    <row r="503" spans="1:9" hidden="1" x14ac:dyDescent="0.25">
      <c r="A503" s="102" t="s">
        <v>3366</v>
      </c>
      <c r="B503" s="103" t="s">
        <v>3367</v>
      </c>
      <c r="C503" s="104" t="s">
        <v>189</v>
      </c>
      <c r="D503" s="104">
        <v>0</v>
      </c>
      <c r="E503" s="158" t="s">
        <v>1079</v>
      </c>
      <c r="F503" s="159" t="str">
        <f t="shared" si="21"/>
        <v/>
      </c>
      <c r="G503" s="160" t="e">
        <f>IF(A503&lt;&gt;"",IF(AND(#REF!="Padrão",$H$4=#REF!),BDI!$B$17,IF(AND(#REF!="Padrão",$H$4=#REF!),BDI!$C$17,IF(AND(#REF!="Diferenciado",$H$4=#REF!),BDI!$G$17,IF(AND(#REF!="Diferenciado",$H$4=#REF!),BDI!$H$17,IF(#REF!="ZERO",0))))),"")</f>
        <v>#REF!</v>
      </c>
      <c r="H503" s="161" t="str">
        <f t="shared" si="22"/>
        <v/>
      </c>
      <c r="I503" s="159" t="str">
        <f t="shared" si="23"/>
        <v/>
      </c>
    </row>
    <row r="504" spans="1:9" hidden="1" x14ac:dyDescent="0.25">
      <c r="A504" s="102" t="s">
        <v>3368</v>
      </c>
      <c r="B504" s="103" t="s">
        <v>3369</v>
      </c>
      <c r="C504" s="104" t="s">
        <v>189</v>
      </c>
      <c r="D504" s="104">
        <v>0</v>
      </c>
      <c r="E504" s="158" t="s">
        <v>1079</v>
      </c>
      <c r="F504" s="159" t="str">
        <f t="shared" si="21"/>
        <v/>
      </c>
      <c r="G504" s="160" t="e">
        <f>IF(A504&lt;&gt;"",IF(AND(#REF!="Padrão",$H$4=#REF!),BDI!$B$17,IF(AND(#REF!="Padrão",$H$4=#REF!),BDI!$C$17,IF(AND(#REF!="Diferenciado",$H$4=#REF!),BDI!$G$17,IF(AND(#REF!="Diferenciado",$H$4=#REF!),BDI!$H$17,IF(#REF!="ZERO",0))))),"")</f>
        <v>#REF!</v>
      </c>
      <c r="H504" s="161" t="str">
        <f t="shared" si="22"/>
        <v/>
      </c>
      <c r="I504" s="159" t="str">
        <f t="shared" si="23"/>
        <v/>
      </c>
    </row>
    <row r="505" spans="1:9" hidden="1" x14ac:dyDescent="0.25">
      <c r="A505" s="102" t="s">
        <v>3370</v>
      </c>
      <c r="B505" s="103" t="s">
        <v>3371</v>
      </c>
      <c r="C505" s="104" t="s">
        <v>184</v>
      </c>
      <c r="D505" s="104">
        <v>0</v>
      </c>
      <c r="E505" s="158" t="s">
        <v>1079</v>
      </c>
      <c r="F505" s="159" t="str">
        <f t="shared" si="21"/>
        <v/>
      </c>
      <c r="G505" s="160" t="e">
        <f>IF(A505&lt;&gt;"",IF(AND(#REF!="Padrão",$H$4=#REF!),BDI!$B$17,IF(AND(#REF!="Padrão",$H$4=#REF!),BDI!$C$17,IF(AND(#REF!="Diferenciado",$H$4=#REF!),BDI!$G$17,IF(AND(#REF!="Diferenciado",$H$4=#REF!),BDI!$H$17,IF(#REF!="ZERO",0))))),"")</f>
        <v>#REF!</v>
      </c>
      <c r="H505" s="161" t="str">
        <f t="shared" si="22"/>
        <v/>
      </c>
      <c r="I505" s="159" t="str">
        <f t="shared" si="23"/>
        <v/>
      </c>
    </row>
    <row r="506" spans="1:9" hidden="1" x14ac:dyDescent="0.25">
      <c r="A506" s="102" t="s">
        <v>3372</v>
      </c>
      <c r="B506" s="103" t="s">
        <v>3373</v>
      </c>
      <c r="C506" s="104" t="s">
        <v>184</v>
      </c>
      <c r="D506" s="104">
        <v>0</v>
      </c>
      <c r="E506" s="158" t="s">
        <v>1079</v>
      </c>
      <c r="F506" s="159" t="str">
        <f t="shared" si="21"/>
        <v/>
      </c>
      <c r="G506" s="160" t="e">
        <f>IF(A506&lt;&gt;"",IF(AND(#REF!="Padrão",$H$4=#REF!),BDI!$B$17,IF(AND(#REF!="Padrão",$H$4=#REF!),BDI!$C$17,IF(AND(#REF!="Diferenciado",$H$4=#REF!),BDI!$G$17,IF(AND(#REF!="Diferenciado",$H$4=#REF!),BDI!$H$17,IF(#REF!="ZERO",0))))),"")</f>
        <v>#REF!</v>
      </c>
      <c r="H506" s="161" t="str">
        <f t="shared" si="22"/>
        <v/>
      </c>
      <c r="I506" s="159" t="str">
        <f t="shared" si="23"/>
        <v/>
      </c>
    </row>
    <row r="507" spans="1:9" hidden="1" x14ac:dyDescent="0.25">
      <c r="A507" s="102" t="s">
        <v>3374</v>
      </c>
      <c r="B507" s="103" t="s">
        <v>3375</v>
      </c>
      <c r="C507" s="104" t="s">
        <v>184</v>
      </c>
      <c r="D507" s="104">
        <v>0</v>
      </c>
      <c r="E507" s="158" t="s">
        <v>1079</v>
      </c>
      <c r="F507" s="159" t="str">
        <f t="shared" si="21"/>
        <v/>
      </c>
      <c r="G507" s="160" t="e">
        <f>IF(A507&lt;&gt;"",IF(AND(#REF!="Padrão",$H$4=#REF!),BDI!$B$17,IF(AND(#REF!="Padrão",$H$4=#REF!),BDI!$C$17,IF(AND(#REF!="Diferenciado",$H$4=#REF!),BDI!$G$17,IF(AND(#REF!="Diferenciado",$H$4=#REF!),BDI!$H$17,IF(#REF!="ZERO",0))))),"")</f>
        <v>#REF!</v>
      </c>
      <c r="H507" s="161" t="str">
        <f t="shared" si="22"/>
        <v/>
      </c>
      <c r="I507" s="159" t="str">
        <f t="shared" si="23"/>
        <v/>
      </c>
    </row>
    <row r="508" spans="1:9" hidden="1" x14ac:dyDescent="0.25">
      <c r="A508" s="102" t="s">
        <v>3376</v>
      </c>
      <c r="B508" s="103" t="s">
        <v>3377</v>
      </c>
      <c r="C508" s="104" t="s">
        <v>184</v>
      </c>
      <c r="D508" s="104">
        <v>0</v>
      </c>
      <c r="E508" s="158" t="s">
        <v>1079</v>
      </c>
      <c r="F508" s="159" t="str">
        <f t="shared" si="21"/>
        <v/>
      </c>
      <c r="G508" s="160" t="e">
        <f>IF(A508&lt;&gt;"",IF(AND(#REF!="Padrão",$H$4=#REF!),BDI!$B$17,IF(AND(#REF!="Padrão",$H$4=#REF!),BDI!$C$17,IF(AND(#REF!="Diferenciado",$H$4=#REF!),BDI!$G$17,IF(AND(#REF!="Diferenciado",$H$4=#REF!),BDI!$H$17,IF(#REF!="ZERO",0))))),"")</f>
        <v>#REF!</v>
      </c>
      <c r="H508" s="161" t="str">
        <f t="shared" si="22"/>
        <v/>
      </c>
      <c r="I508" s="159" t="str">
        <f t="shared" si="23"/>
        <v/>
      </c>
    </row>
    <row r="509" spans="1:9" hidden="1" x14ac:dyDescent="0.25">
      <c r="A509" s="102" t="s">
        <v>3378</v>
      </c>
      <c r="B509" s="103" t="s">
        <v>3379</v>
      </c>
      <c r="C509" s="104" t="s">
        <v>184</v>
      </c>
      <c r="D509" s="104">
        <v>0</v>
      </c>
      <c r="E509" s="158" t="s">
        <v>1079</v>
      </c>
      <c r="F509" s="159" t="str">
        <f t="shared" si="21"/>
        <v/>
      </c>
      <c r="G509" s="160" t="e">
        <f>IF(A509&lt;&gt;"",IF(AND(#REF!="Padrão",$H$4=#REF!),BDI!$B$17,IF(AND(#REF!="Padrão",$H$4=#REF!),BDI!$C$17,IF(AND(#REF!="Diferenciado",$H$4=#REF!),BDI!$G$17,IF(AND(#REF!="Diferenciado",$H$4=#REF!),BDI!$H$17,IF(#REF!="ZERO",0))))),"")</f>
        <v>#REF!</v>
      </c>
      <c r="H509" s="161" t="str">
        <f t="shared" si="22"/>
        <v/>
      </c>
      <c r="I509" s="159" t="str">
        <f t="shared" si="23"/>
        <v/>
      </c>
    </row>
    <row r="510" spans="1:9" hidden="1" x14ac:dyDescent="0.25">
      <c r="A510" s="102" t="s">
        <v>3380</v>
      </c>
      <c r="B510" s="103" t="s">
        <v>3381</v>
      </c>
      <c r="C510" s="104" t="s">
        <v>75</v>
      </c>
      <c r="D510" s="104">
        <v>0</v>
      </c>
      <c r="E510" s="158" t="s">
        <v>1079</v>
      </c>
      <c r="F510" s="159" t="str">
        <f t="shared" si="21"/>
        <v/>
      </c>
      <c r="G510" s="160" t="e">
        <f>IF(A510&lt;&gt;"",IF(AND(#REF!="Padrão",$H$4=#REF!),BDI!$B$17,IF(AND(#REF!="Padrão",$H$4=#REF!),BDI!$C$17,IF(AND(#REF!="Diferenciado",$H$4=#REF!),BDI!$G$17,IF(AND(#REF!="Diferenciado",$H$4=#REF!),BDI!$H$17,IF(#REF!="ZERO",0))))),"")</f>
        <v>#REF!</v>
      </c>
      <c r="H510" s="161" t="str">
        <f t="shared" si="22"/>
        <v/>
      </c>
      <c r="I510" s="159" t="str">
        <f t="shared" si="23"/>
        <v/>
      </c>
    </row>
    <row r="511" spans="1:9" hidden="1" x14ac:dyDescent="0.25">
      <c r="A511" s="102" t="s">
        <v>3382</v>
      </c>
      <c r="B511" s="103" t="s">
        <v>3383</v>
      </c>
      <c r="C511" s="104" t="s">
        <v>184</v>
      </c>
      <c r="D511" s="104">
        <v>0</v>
      </c>
      <c r="E511" s="158" t="s">
        <v>1079</v>
      </c>
      <c r="F511" s="159" t="str">
        <f t="shared" si="21"/>
        <v/>
      </c>
      <c r="G511" s="160" t="e">
        <f>IF(A511&lt;&gt;"",IF(AND(#REF!="Padrão",$H$4=#REF!),BDI!$B$17,IF(AND(#REF!="Padrão",$H$4=#REF!),BDI!$C$17,IF(AND(#REF!="Diferenciado",$H$4=#REF!),BDI!$G$17,IF(AND(#REF!="Diferenciado",$H$4=#REF!),BDI!$H$17,IF(#REF!="ZERO",0))))),"")</f>
        <v>#REF!</v>
      </c>
      <c r="H511" s="161" t="str">
        <f t="shared" si="22"/>
        <v/>
      </c>
      <c r="I511" s="159" t="str">
        <f t="shared" si="23"/>
        <v/>
      </c>
    </row>
    <row r="512" spans="1:9" hidden="1" x14ac:dyDescent="0.25">
      <c r="A512" s="102" t="s">
        <v>3384</v>
      </c>
      <c r="B512" s="103" t="s">
        <v>3385</v>
      </c>
      <c r="C512" s="104" t="s">
        <v>184</v>
      </c>
      <c r="D512" s="104">
        <v>0</v>
      </c>
      <c r="E512" s="158" t="s">
        <v>1079</v>
      </c>
      <c r="F512" s="159" t="str">
        <f t="shared" si="21"/>
        <v/>
      </c>
      <c r="G512" s="160" t="e">
        <f>IF(A512&lt;&gt;"",IF(AND(#REF!="Padrão",$H$4=#REF!),BDI!$B$17,IF(AND(#REF!="Padrão",$H$4=#REF!),BDI!$C$17,IF(AND(#REF!="Diferenciado",$H$4=#REF!),BDI!$G$17,IF(AND(#REF!="Diferenciado",$H$4=#REF!),BDI!$H$17,IF(#REF!="ZERO",0))))),"")</f>
        <v>#REF!</v>
      </c>
      <c r="H512" s="161" t="str">
        <f t="shared" si="22"/>
        <v/>
      </c>
      <c r="I512" s="159" t="str">
        <f t="shared" si="23"/>
        <v/>
      </c>
    </row>
    <row r="513" spans="1:9" hidden="1" x14ac:dyDescent="0.25">
      <c r="A513" s="102" t="s">
        <v>3386</v>
      </c>
      <c r="B513" s="103" t="s">
        <v>3387</v>
      </c>
      <c r="C513" s="104" t="s">
        <v>184</v>
      </c>
      <c r="D513" s="104">
        <v>0</v>
      </c>
      <c r="E513" s="158" t="s">
        <v>1079</v>
      </c>
      <c r="F513" s="159" t="str">
        <f t="shared" si="21"/>
        <v/>
      </c>
      <c r="G513" s="160" t="e">
        <f>IF(A513&lt;&gt;"",IF(AND(#REF!="Padrão",$H$4=#REF!),BDI!$B$17,IF(AND(#REF!="Padrão",$H$4=#REF!),BDI!$C$17,IF(AND(#REF!="Diferenciado",$H$4=#REF!),BDI!$G$17,IF(AND(#REF!="Diferenciado",$H$4=#REF!),BDI!$H$17,IF(#REF!="ZERO",0))))),"")</f>
        <v>#REF!</v>
      </c>
      <c r="H513" s="161" t="str">
        <f t="shared" si="22"/>
        <v/>
      </c>
      <c r="I513" s="159" t="str">
        <f t="shared" si="23"/>
        <v/>
      </c>
    </row>
    <row r="514" spans="1:9" hidden="1" x14ac:dyDescent="0.25">
      <c r="A514" s="102" t="s">
        <v>3388</v>
      </c>
      <c r="B514" s="103" t="s">
        <v>3389</v>
      </c>
      <c r="C514" s="104" t="s">
        <v>184</v>
      </c>
      <c r="D514" s="104">
        <v>0</v>
      </c>
      <c r="E514" s="158" t="s">
        <v>1079</v>
      </c>
      <c r="F514" s="159" t="str">
        <f t="shared" si="21"/>
        <v/>
      </c>
      <c r="G514" s="160" t="e">
        <f>IF(A514&lt;&gt;"",IF(AND(#REF!="Padrão",$H$4=#REF!),BDI!$B$17,IF(AND(#REF!="Padrão",$H$4=#REF!),BDI!$C$17,IF(AND(#REF!="Diferenciado",$H$4=#REF!),BDI!$G$17,IF(AND(#REF!="Diferenciado",$H$4=#REF!),BDI!$H$17,IF(#REF!="ZERO",0))))),"")</f>
        <v>#REF!</v>
      </c>
      <c r="H514" s="161" t="str">
        <f t="shared" si="22"/>
        <v/>
      </c>
      <c r="I514" s="159" t="str">
        <f t="shared" si="23"/>
        <v/>
      </c>
    </row>
    <row r="515" spans="1:9" hidden="1" x14ac:dyDescent="0.25">
      <c r="A515" s="102" t="s">
        <v>3390</v>
      </c>
      <c r="B515" s="103" t="s">
        <v>3391</v>
      </c>
      <c r="C515" s="104" t="s">
        <v>184</v>
      </c>
      <c r="D515" s="104">
        <v>0</v>
      </c>
      <c r="E515" s="158" t="s">
        <v>1079</v>
      </c>
      <c r="F515" s="159" t="str">
        <f t="shared" si="21"/>
        <v/>
      </c>
      <c r="G515" s="160" t="e">
        <f>IF(A515&lt;&gt;"",IF(AND(#REF!="Padrão",$H$4=#REF!),BDI!$B$17,IF(AND(#REF!="Padrão",$H$4=#REF!),BDI!$C$17,IF(AND(#REF!="Diferenciado",$H$4=#REF!),BDI!$G$17,IF(AND(#REF!="Diferenciado",$H$4=#REF!),BDI!$H$17,IF(#REF!="ZERO",0))))),"")</f>
        <v>#REF!</v>
      </c>
      <c r="H515" s="161" t="str">
        <f t="shared" si="22"/>
        <v/>
      </c>
      <c r="I515" s="159" t="str">
        <f t="shared" si="23"/>
        <v/>
      </c>
    </row>
    <row r="516" spans="1:9" hidden="1" x14ac:dyDescent="0.25">
      <c r="A516" s="102" t="s">
        <v>3392</v>
      </c>
      <c r="B516" s="103" t="s">
        <v>3393</v>
      </c>
      <c r="C516" s="104" t="s">
        <v>184</v>
      </c>
      <c r="D516" s="104">
        <v>0</v>
      </c>
      <c r="E516" s="158" t="s">
        <v>1079</v>
      </c>
      <c r="F516" s="159" t="str">
        <f t="shared" si="21"/>
        <v/>
      </c>
      <c r="G516" s="160" t="e">
        <f>IF(A516&lt;&gt;"",IF(AND(#REF!="Padrão",$H$4=#REF!),BDI!$B$17,IF(AND(#REF!="Padrão",$H$4=#REF!),BDI!$C$17,IF(AND(#REF!="Diferenciado",$H$4=#REF!),BDI!$G$17,IF(AND(#REF!="Diferenciado",$H$4=#REF!),BDI!$H$17,IF(#REF!="ZERO",0))))),"")</f>
        <v>#REF!</v>
      </c>
      <c r="H516" s="161" t="str">
        <f t="shared" si="22"/>
        <v/>
      </c>
      <c r="I516" s="159" t="str">
        <f t="shared" si="23"/>
        <v/>
      </c>
    </row>
    <row r="517" spans="1:9" hidden="1" x14ac:dyDescent="0.25">
      <c r="A517" s="102" t="s">
        <v>3394</v>
      </c>
      <c r="B517" s="103" t="s">
        <v>3395</v>
      </c>
      <c r="C517" s="104" t="s">
        <v>184</v>
      </c>
      <c r="D517" s="104">
        <v>0</v>
      </c>
      <c r="E517" s="158" t="s">
        <v>1079</v>
      </c>
      <c r="F517" s="159" t="str">
        <f t="shared" si="21"/>
        <v/>
      </c>
      <c r="G517" s="160" t="e">
        <f>IF(A517&lt;&gt;"",IF(AND(#REF!="Padrão",$H$4=#REF!),BDI!$B$17,IF(AND(#REF!="Padrão",$H$4=#REF!),BDI!$C$17,IF(AND(#REF!="Diferenciado",$H$4=#REF!),BDI!$G$17,IF(AND(#REF!="Diferenciado",$H$4=#REF!),BDI!$H$17,IF(#REF!="ZERO",0))))),"")</f>
        <v>#REF!</v>
      </c>
      <c r="H517" s="161" t="str">
        <f t="shared" si="22"/>
        <v/>
      </c>
      <c r="I517" s="159" t="str">
        <f t="shared" si="23"/>
        <v/>
      </c>
    </row>
    <row r="518" spans="1:9" hidden="1" x14ac:dyDescent="0.25">
      <c r="A518" s="102" t="s">
        <v>3396</v>
      </c>
      <c r="B518" s="103" t="s">
        <v>3397</v>
      </c>
      <c r="C518" s="104" t="s">
        <v>184</v>
      </c>
      <c r="D518" s="104">
        <v>0</v>
      </c>
      <c r="E518" s="158" t="s">
        <v>1079</v>
      </c>
      <c r="F518" s="159" t="str">
        <f t="shared" si="21"/>
        <v/>
      </c>
      <c r="G518" s="160" t="e">
        <f>IF(A518&lt;&gt;"",IF(AND(#REF!="Padrão",$H$4=#REF!),BDI!$B$17,IF(AND(#REF!="Padrão",$H$4=#REF!),BDI!$C$17,IF(AND(#REF!="Diferenciado",$H$4=#REF!),BDI!$G$17,IF(AND(#REF!="Diferenciado",$H$4=#REF!),BDI!$H$17,IF(#REF!="ZERO",0))))),"")</f>
        <v>#REF!</v>
      </c>
      <c r="H518" s="161" t="str">
        <f t="shared" si="22"/>
        <v/>
      </c>
      <c r="I518" s="159" t="str">
        <f t="shared" si="23"/>
        <v/>
      </c>
    </row>
    <row r="519" spans="1:9" hidden="1" x14ac:dyDescent="0.25">
      <c r="A519" s="102" t="s">
        <v>3398</v>
      </c>
      <c r="B519" s="103" t="s">
        <v>3399</v>
      </c>
      <c r="C519" s="104" t="s">
        <v>184</v>
      </c>
      <c r="D519" s="104">
        <v>0</v>
      </c>
      <c r="E519" s="158" t="s">
        <v>1079</v>
      </c>
      <c r="F519" s="159" t="str">
        <f t="shared" ref="F519:F582" si="24">IF(ISNUMBER(E519),D519*E519,"")</f>
        <v/>
      </c>
      <c r="G519" s="160" t="e">
        <f>IF(A519&lt;&gt;"",IF(AND(#REF!="Padrão",$H$4=#REF!),BDI!$B$17,IF(AND(#REF!="Padrão",$H$4=#REF!),BDI!$C$17,IF(AND(#REF!="Diferenciado",$H$4=#REF!),BDI!$G$17,IF(AND(#REF!="Diferenciado",$H$4=#REF!),BDI!$H$17,IF(#REF!="ZERO",0))))),"")</f>
        <v>#REF!</v>
      </c>
      <c r="H519" s="161" t="str">
        <f t="shared" ref="H519:H582" si="25">IF(ISNUMBER(E519),ROUND(E519*(1+G519),2),"")</f>
        <v/>
      </c>
      <c r="I519" s="159" t="str">
        <f t="shared" ref="I519:I582" si="26">IF(ISNUMBER(E519),ROUND(H519*D519,2),"")</f>
        <v/>
      </c>
    </row>
    <row r="520" spans="1:9" hidden="1" x14ac:dyDescent="0.25">
      <c r="A520" s="102" t="s">
        <v>3400</v>
      </c>
      <c r="B520" s="103" t="s">
        <v>3401</v>
      </c>
      <c r="C520" s="104" t="s">
        <v>184</v>
      </c>
      <c r="D520" s="104">
        <v>0</v>
      </c>
      <c r="E520" s="158" t="s">
        <v>1079</v>
      </c>
      <c r="F520" s="159" t="str">
        <f t="shared" si="24"/>
        <v/>
      </c>
      <c r="G520" s="160" t="e">
        <f>IF(A520&lt;&gt;"",IF(AND(#REF!="Padrão",$H$4=#REF!),BDI!$B$17,IF(AND(#REF!="Padrão",$H$4=#REF!),BDI!$C$17,IF(AND(#REF!="Diferenciado",$H$4=#REF!),BDI!$G$17,IF(AND(#REF!="Diferenciado",$H$4=#REF!),BDI!$H$17,IF(#REF!="ZERO",0))))),"")</f>
        <v>#REF!</v>
      </c>
      <c r="H520" s="161" t="str">
        <f t="shared" si="25"/>
        <v/>
      </c>
      <c r="I520" s="159" t="str">
        <f t="shared" si="26"/>
        <v/>
      </c>
    </row>
    <row r="521" spans="1:9" hidden="1" x14ac:dyDescent="0.25">
      <c r="A521" s="102" t="s">
        <v>3402</v>
      </c>
      <c r="B521" s="103" t="s">
        <v>3403</v>
      </c>
      <c r="C521" s="104" t="s">
        <v>184</v>
      </c>
      <c r="D521" s="104">
        <v>0</v>
      </c>
      <c r="E521" s="158" t="s">
        <v>1079</v>
      </c>
      <c r="F521" s="159" t="str">
        <f t="shared" si="24"/>
        <v/>
      </c>
      <c r="G521" s="160" t="e">
        <f>IF(A521&lt;&gt;"",IF(AND(#REF!="Padrão",$H$4=#REF!),BDI!$B$17,IF(AND(#REF!="Padrão",$H$4=#REF!),BDI!$C$17,IF(AND(#REF!="Diferenciado",$H$4=#REF!),BDI!$G$17,IF(AND(#REF!="Diferenciado",$H$4=#REF!),BDI!$H$17,IF(#REF!="ZERO",0))))),"")</f>
        <v>#REF!</v>
      </c>
      <c r="H521" s="161" t="str">
        <f t="shared" si="25"/>
        <v/>
      </c>
      <c r="I521" s="159" t="str">
        <f t="shared" si="26"/>
        <v/>
      </c>
    </row>
    <row r="522" spans="1:9" hidden="1" x14ac:dyDescent="0.25">
      <c r="A522" s="102" t="s">
        <v>3404</v>
      </c>
      <c r="B522" s="103" t="s">
        <v>3405</v>
      </c>
      <c r="C522" s="104" t="s">
        <v>184</v>
      </c>
      <c r="D522" s="104">
        <v>0</v>
      </c>
      <c r="E522" s="158" t="s">
        <v>1079</v>
      </c>
      <c r="F522" s="159" t="str">
        <f t="shared" si="24"/>
        <v/>
      </c>
      <c r="G522" s="160" t="e">
        <f>IF(A522&lt;&gt;"",IF(AND(#REF!="Padrão",$H$4=#REF!),BDI!$B$17,IF(AND(#REF!="Padrão",$H$4=#REF!),BDI!$C$17,IF(AND(#REF!="Diferenciado",$H$4=#REF!),BDI!$G$17,IF(AND(#REF!="Diferenciado",$H$4=#REF!),BDI!$H$17,IF(#REF!="ZERO",0))))),"")</f>
        <v>#REF!</v>
      </c>
      <c r="H522" s="161" t="str">
        <f t="shared" si="25"/>
        <v/>
      </c>
      <c r="I522" s="159" t="str">
        <f t="shared" si="26"/>
        <v/>
      </c>
    </row>
    <row r="523" spans="1:9" hidden="1" x14ac:dyDescent="0.25">
      <c r="A523" s="102" t="s">
        <v>3406</v>
      </c>
      <c r="B523" s="103" t="s">
        <v>3407</v>
      </c>
      <c r="C523" s="104" t="s">
        <v>184</v>
      </c>
      <c r="D523" s="104">
        <v>0</v>
      </c>
      <c r="E523" s="158" t="s">
        <v>1079</v>
      </c>
      <c r="F523" s="159" t="str">
        <f t="shared" si="24"/>
        <v/>
      </c>
      <c r="G523" s="160" t="e">
        <f>IF(A523&lt;&gt;"",IF(AND(#REF!="Padrão",$H$4=#REF!),BDI!$B$17,IF(AND(#REF!="Padrão",$H$4=#REF!),BDI!$C$17,IF(AND(#REF!="Diferenciado",$H$4=#REF!),BDI!$G$17,IF(AND(#REF!="Diferenciado",$H$4=#REF!),BDI!$H$17,IF(#REF!="ZERO",0))))),"")</f>
        <v>#REF!</v>
      </c>
      <c r="H523" s="161" t="str">
        <f t="shared" si="25"/>
        <v/>
      </c>
      <c r="I523" s="159" t="str">
        <f t="shared" si="26"/>
        <v/>
      </c>
    </row>
    <row r="524" spans="1:9" hidden="1" x14ac:dyDescent="0.25">
      <c r="A524" s="102" t="s">
        <v>3408</v>
      </c>
      <c r="B524" s="103" t="s">
        <v>3409</v>
      </c>
      <c r="C524" s="104" t="s">
        <v>184</v>
      </c>
      <c r="D524" s="104">
        <v>0</v>
      </c>
      <c r="E524" s="158" t="s">
        <v>1079</v>
      </c>
      <c r="F524" s="159" t="str">
        <f t="shared" si="24"/>
        <v/>
      </c>
      <c r="G524" s="160" t="e">
        <f>IF(A524&lt;&gt;"",IF(AND(#REF!="Padrão",$H$4=#REF!),BDI!$B$17,IF(AND(#REF!="Padrão",$H$4=#REF!),BDI!$C$17,IF(AND(#REF!="Diferenciado",$H$4=#REF!),BDI!$G$17,IF(AND(#REF!="Diferenciado",$H$4=#REF!),BDI!$H$17,IF(#REF!="ZERO",0))))),"")</f>
        <v>#REF!</v>
      </c>
      <c r="H524" s="161" t="str">
        <f t="shared" si="25"/>
        <v/>
      </c>
      <c r="I524" s="159" t="str">
        <f t="shared" si="26"/>
        <v/>
      </c>
    </row>
    <row r="525" spans="1:9" hidden="1" x14ac:dyDescent="0.25">
      <c r="A525" s="102" t="s">
        <v>3410</v>
      </c>
      <c r="B525" s="103" t="s">
        <v>3411</v>
      </c>
      <c r="C525" s="104" t="s">
        <v>184</v>
      </c>
      <c r="D525" s="104">
        <v>0</v>
      </c>
      <c r="E525" s="158" t="s">
        <v>1079</v>
      </c>
      <c r="F525" s="159" t="str">
        <f t="shared" si="24"/>
        <v/>
      </c>
      <c r="G525" s="160" t="e">
        <f>IF(A525&lt;&gt;"",IF(AND(#REF!="Padrão",$H$4=#REF!),BDI!$B$17,IF(AND(#REF!="Padrão",$H$4=#REF!),BDI!$C$17,IF(AND(#REF!="Diferenciado",$H$4=#REF!),BDI!$G$17,IF(AND(#REF!="Diferenciado",$H$4=#REF!),BDI!$H$17,IF(#REF!="ZERO",0))))),"")</f>
        <v>#REF!</v>
      </c>
      <c r="H525" s="161" t="str">
        <f t="shared" si="25"/>
        <v/>
      </c>
      <c r="I525" s="159" t="str">
        <f t="shared" si="26"/>
        <v/>
      </c>
    </row>
    <row r="526" spans="1:9" hidden="1" x14ac:dyDescent="0.25">
      <c r="A526" s="102" t="s">
        <v>3412</v>
      </c>
      <c r="B526" s="103" t="s">
        <v>3413</v>
      </c>
      <c r="C526" s="104" t="s">
        <v>184</v>
      </c>
      <c r="D526" s="104">
        <v>0</v>
      </c>
      <c r="E526" s="158" t="s">
        <v>1079</v>
      </c>
      <c r="F526" s="159" t="str">
        <f t="shared" si="24"/>
        <v/>
      </c>
      <c r="G526" s="160" t="e">
        <f>IF(A526&lt;&gt;"",IF(AND(#REF!="Padrão",$H$4=#REF!),BDI!$B$17,IF(AND(#REF!="Padrão",$H$4=#REF!),BDI!$C$17,IF(AND(#REF!="Diferenciado",$H$4=#REF!),BDI!$G$17,IF(AND(#REF!="Diferenciado",$H$4=#REF!),BDI!$H$17,IF(#REF!="ZERO",0))))),"")</f>
        <v>#REF!</v>
      </c>
      <c r="H526" s="161" t="str">
        <f t="shared" si="25"/>
        <v/>
      </c>
      <c r="I526" s="159" t="str">
        <f t="shared" si="26"/>
        <v/>
      </c>
    </row>
    <row r="527" spans="1:9" hidden="1" x14ac:dyDescent="0.25">
      <c r="A527" s="102" t="s">
        <v>3414</v>
      </c>
      <c r="B527" s="103" t="s">
        <v>3415</v>
      </c>
      <c r="C527" s="104" t="s">
        <v>184</v>
      </c>
      <c r="D527" s="104">
        <v>0</v>
      </c>
      <c r="E527" s="158" t="s">
        <v>1079</v>
      </c>
      <c r="F527" s="159" t="str">
        <f t="shared" si="24"/>
        <v/>
      </c>
      <c r="G527" s="160" t="e">
        <f>IF(A527&lt;&gt;"",IF(AND(#REF!="Padrão",$H$4=#REF!),BDI!$B$17,IF(AND(#REF!="Padrão",$H$4=#REF!),BDI!$C$17,IF(AND(#REF!="Diferenciado",$H$4=#REF!),BDI!$G$17,IF(AND(#REF!="Diferenciado",$H$4=#REF!),BDI!$H$17,IF(#REF!="ZERO",0))))),"")</f>
        <v>#REF!</v>
      </c>
      <c r="H527" s="161" t="str">
        <f t="shared" si="25"/>
        <v/>
      </c>
      <c r="I527" s="159" t="str">
        <f t="shared" si="26"/>
        <v/>
      </c>
    </row>
    <row r="528" spans="1:9" hidden="1" x14ac:dyDescent="0.25">
      <c r="A528" s="102" t="s">
        <v>3416</v>
      </c>
      <c r="B528" s="103" t="s">
        <v>3417</v>
      </c>
      <c r="C528" s="104" t="s">
        <v>184</v>
      </c>
      <c r="D528" s="104">
        <v>0</v>
      </c>
      <c r="E528" s="158" t="s">
        <v>1079</v>
      </c>
      <c r="F528" s="159" t="str">
        <f t="shared" si="24"/>
        <v/>
      </c>
      <c r="G528" s="160" t="e">
        <f>IF(A528&lt;&gt;"",IF(AND(#REF!="Padrão",$H$4=#REF!),BDI!$B$17,IF(AND(#REF!="Padrão",$H$4=#REF!),BDI!$C$17,IF(AND(#REF!="Diferenciado",$H$4=#REF!),BDI!$G$17,IF(AND(#REF!="Diferenciado",$H$4=#REF!),BDI!$H$17,IF(#REF!="ZERO",0))))),"")</f>
        <v>#REF!</v>
      </c>
      <c r="H528" s="161" t="str">
        <f t="shared" si="25"/>
        <v/>
      </c>
      <c r="I528" s="159" t="str">
        <f t="shared" si="26"/>
        <v/>
      </c>
    </row>
    <row r="529" spans="1:9" hidden="1" x14ac:dyDescent="0.25">
      <c r="A529" s="102" t="s">
        <v>3418</v>
      </c>
      <c r="B529" s="103" t="s">
        <v>3419</v>
      </c>
      <c r="C529" s="104" t="s">
        <v>184</v>
      </c>
      <c r="D529" s="104">
        <v>0</v>
      </c>
      <c r="E529" s="158" t="s">
        <v>1079</v>
      </c>
      <c r="F529" s="159" t="str">
        <f t="shared" si="24"/>
        <v/>
      </c>
      <c r="G529" s="160" t="e">
        <f>IF(A529&lt;&gt;"",IF(AND(#REF!="Padrão",$H$4=#REF!),BDI!$B$17,IF(AND(#REF!="Padrão",$H$4=#REF!),BDI!$C$17,IF(AND(#REF!="Diferenciado",$H$4=#REF!),BDI!$G$17,IF(AND(#REF!="Diferenciado",$H$4=#REF!),BDI!$H$17,IF(#REF!="ZERO",0))))),"")</f>
        <v>#REF!</v>
      </c>
      <c r="H529" s="161" t="str">
        <f t="shared" si="25"/>
        <v/>
      </c>
      <c r="I529" s="159" t="str">
        <f t="shared" si="26"/>
        <v/>
      </c>
    </row>
    <row r="530" spans="1:9" hidden="1" x14ac:dyDescent="0.25">
      <c r="A530" s="102" t="s">
        <v>3420</v>
      </c>
      <c r="B530" s="103" t="s">
        <v>3421</v>
      </c>
      <c r="C530" s="104" t="s">
        <v>184</v>
      </c>
      <c r="D530" s="104">
        <v>0</v>
      </c>
      <c r="E530" s="158" t="s">
        <v>1079</v>
      </c>
      <c r="F530" s="159" t="str">
        <f t="shared" si="24"/>
        <v/>
      </c>
      <c r="G530" s="160" t="e">
        <f>IF(A530&lt;&gt;"",IF(AND(#REF!="Padrão",$H$4=#REF!),BDI!$B$17,IF(AND(#REF!="Padrão",$H$4=#REF!),BDI!$C$17,IF(AND(#REF!="Diferenciado",$H$4=#REF!),BDI!$G$17,IF(AND(#REF!="Diferenciado",$H$4=#REF!),BDI!$H$17,IF(#REF!="ZERO",0))))),"")</f>
        <v>#REF!</v>
      </c>
      <c r="H530" s="161" t="str">
        <f t="shared" si="25"/>
        <v/>
      </c>
      <c r="I530" s="159" t="str">
        <f t="shared" si="26"/>
        <v/>
      </c>
    </row>
    <row r="531" spans="1:9" hidden="1" x14ac:dyDescent="0.25">
      <c r="A531" s="102" t="s">
        <v>3422</v>
      </c>
      <c r="B531" s="103" t="s">
        <v>3423</v>
      </c>
      <c r="C531" s="104" t="s">
        <v>184</v>
      </c>
      <c r="D531" s="104">
        <v>0</v>
      </c>
      <c r="E531" s="158" t="s">
        <v>1079</v>
      </c>
      <c r="F531" s="159" t="str">
        <f t="shared" si="24"/>
        <v/>
      </c>
      <c r="G531" s="160" t="e">
        <f>IF(A531&lt;&gt;"",IF(AND(#REF!="Padrão",$H$4=#REF!),BDI!$B$17,IF(AND(#REF!="Padrão",$H$4=#REF!),BDI!$C$17,IF(AND(#REF!="Diferenciado",$H$4=#REF!),BDI!$G$17,IF(AND(#REF!="Diferenciado",$H$4=#REF!),BDI!$H$17,IF(#REF!="ZERO",0))))),"")</f>
        <v>#REF!</v>
      </c>
      <c r="H531" s="161" t="str">
        <f t="shared" si="25"/>
        <v/>
      </c>
      <c r="I531" s="159" t="str">
        <f t="shared" si="26"/>
        <v/>
      </c>
    </row>
    <row r="532" spans="1:9" hidden="1" x14ac:dyDescent="0.25">
      <c r="A532" s="102" t="s">
        <v>3424</v>
      </c>
      <c r="B532" s="103" t="s">
        <v>3425</v>
      </c>
      <c r="C532" s="104" t="s">
        <v>184</v>
      </c>
      <c r="D532" s="104">
        <v>0</v>
      </c>
      <c r="E532" s="158" t="s">
        <v>1079</v>
      </c>
      <c r="F532" s="159" t="str">
        <f t="shared" si="24"/>
        <v/>
      </c>
      <c r="G532" s="160" t="e">
        <f>IF(A532&lt;&gt;"",IF(AND(#REF!="Padrão",$H$4=#REF!),BDI!$B$17,IF(AND(#REF!="Padrão",$H$4=#REF!),BDI!$C$17,IF(AND(#REF!="Diferenciado",$H$4=#REF!),BDI!$G$17,IF(AND(#REF!="Diferenciado",$H$4=#REF!),BDI!$H$17,IF(#REF!="ZERO",0))))),"")</f>
        <v>#REF!</v>
      </c>
      <c r="H532" s="161" t="str">
        <f t="shared" si="25"/>
        <v/>
      </c>
      <c r="I532" s="159" t="str">
        <f t="shared" si="26"/>
        <v/>
      </c>
    </row>
    <row r="533" spans="1:9" hidden="1" x14ac:dyDescent="0.25">
      <c r="A533" s="102" t="s">
        <v>3426</v>
      </c>
      <c r="B533" s="103" t="s">
        <v>3427</v>
      </c>
      <c r="C533" s="104" t="s">
        <v>184</v>
      </c>
      <c r="D533" s="104">
        <v>0</v>
      </c>
      <c r="E533" s="158" t="s">
        <v>1079</v>
      </c>
      <c r="F533" s="159" t="str">
        <f t="shared" si="24"/>
        <v/>
      </c>
      <c r="G533" s="160" t="e">
        <f>IF(A533&lt;&gt;"",IF(AND(#REF!="Padrão",$H$4=#REF!),BDI!$B$17,IF(AND(#REF!="Padrão",$H$4=#REF!),BDI!$C$17,IF(AND(#REF!="Diferenciado",$H$4=#REF!),BDI!$G$17,IF(AND(#REF!="Diferenciado",$H$4=#REF!),BDI!$H$17,IF(#REF!="ZERO",0))))),"")</f>
        <v>#REF!</v>
      </c>
      <c r="H533" s="161" t="str">
        <f t="shared" si="25"/>
        <v/>
      </c>
      <c r="I533" s="159" t="str">
        <f t="shared" si="26"/>
        <v/>
      </c>
    </row>
    <row r="534" spans="1:9" hidden="1" x14ac:dyDescent="0.25">
      <c r="A534" s="102" t="s">
        <v>3428</v>
      </c>
      <c r="B534" s="103" t="s">
        <v>3429</v>
      </c>
      <c r="C534" s="104" t="s">
        <v>184</v>
      </c>
      <c r="D534" s="104">
        <v>0</v>
      </c>
      <c r="E534" s="158" t="s">
        <v>1079</v>
      </c>
      <c r="F534" s="159" t="str">
        <f t="shared" si="24"/>
        <v/>
      </c>
      <c r="G534" s="160" t="e">
        <f>IF(A534&lt;&gt;"",IF(AND(#REF!="Padrão",$H$4=#REF!),BDI!$B$17,IF(AND(#REF!="Padrão",$H$4=#REF!),BDI!$C$17,IF(AND(#REF!="Diferenciado",$H$4=#REF!),BDI!$G$17,IF(AND(#REF!="Diferenciado",$H$4=#REF!),BDI!$H$17,IF(#REF!="ZERO",0))))),"")</f>
        <v>#REF!</v>
      </c>
      <c r="H534" s="161" t="str">
        <f t="shared" si="25"/>
        <v/>
      </c>
      <c r="I534" s="159" t="str">
        <f t="shared" si="26"/>
        <v/>
      </c>
    </row>
    <row r="535" spans="1:9" hidden="1" x14ac:dyDescent="0.25">
      <c r="A535" s="102" t="s">
        <v>3430</v>
      </c>
      <c r="B535" s="103" t="s">
        <v>3431</v>
      </c>
      <c r="C535" s="104" t="s">
        <v>184</v>
      </c>
      <c r="D535" s="104">
        <v>0</v>
      </c>
      <c r="E535" s="158" t="s">
        <v>1079</v>
      </c>
      <c r="F535" s="159" t="str">
        <f t="shared" si="24"/>
        <v/>
      </c>
      <c r="G535" s="160" t="e">
        <f>IF(A535&lt;&gt;"",IF(AND(#REF!="Padrão",$H$4=#REF!),BDI!$B$17,IF(AND(#REF!="Padrão",$H$4=#REF!),BDI!$C$17,IF(AND(#REF!="Diferenciado",$H$4=#REF!),BDI!$G$17,IF(AND(#REF!="Diferenciado",$H$4=#REF!),BDI!$H$17,IF(#REF!="ZERO",0))))),"")</f>
        <v>#REF!</v>
      </c>
      <c r="H535" s="161" t="str">
        <f t="shared" si="25"/>
        <v/>
      </c>
      <c r="I535" s="159" t="str">
        <f t="shared" si="26"/>
        <v/>
      </c>
    </row>
    <row r="536" spans="1:9" hidden="1" x14ac:dyDescent="0.25">
      <c r="A536" s="102" t="s">
        <v>3432</v>
      </c>
      <c r="B536" s="103" t="s">
        <v>3433</v>
      </c>
      <c r="C536" s="104" t="s">
        <v>184</v>
      </c>
      <c r="D536" s="104">
        <v>0</v>
      </c>
      <c r="E536" s="158" t="s">
        <v>1079</v>
      </c>
      <c r="F536" s="159" t="str">
        <f t="shared" si="24"/>
        <v/>
      </c>
      <c r="G536" s="160" t="e">
        <f>IF(A536&lt;&gt;"",IF(AND(#REF!="Padrão",$H$4=#REF!),BDI!$B$17,IF(AND(#REF!="Padrão",$H$4=#REF!),BDI!$C$17,IF(AND(#REF!="Diferenciado",$H$4=#REF!),BDI!$G$17,IF(AND(#REF!="Diferenciado",$H$4=#REF!),BDI!$H$17,IF(#REF!="ZERO",0))))),"")</f>
        <v>#REF!</v>
      </c>
      <c r="H536" s="161" t="str">
        <f t="shared" si="25"/>
        <v/>
      </c>
      <c r="I536" s="159" t="str">
        <f t="shared" si="26"/>
        <v/>
      </c>
    </row>
    <row r="537" spans="1:9" hidden="1" x14ac:dyDescent="0.25">
      <c r="A537" s="102" t="s">
        <v>3434</v>
      </c>
      <c r="B537" s="103" t="s">
        <v>3435</v>
      </c>
      <c r="C537" s="104" t="s">
        <v>184</v>
      </c>
      <c r="D537" s="104">
        <v>0</v>
      </c>
      <c r="E537" s="158" t="s">
        <v>1079</v>
      </c>
      <c r="F537" s="159" t="str">
        <f t="shared" si="24"/>
        <v/>
      </c>
      <c r="G537" s="160" t="e">
        <f>IF(A537&lt;&gt;"",IF(AND(#REF!="Padrão",$H$4=#REF!),BDI!$B$17,IF(AND(#REF!="Padrão",$H$4=#REF!),BDI!$C$17,IF(AND(#REF!="Diferenciado",$H$4=#REF!),BDI!$G$17,IF(AND(#REF!="Diferenciado",$H$4=#REF!),BDI!$H$17,IF(#REF!="ZERO",0))))),"")</f>
        <v>#REF!</v>
      </c>
      <c r="H537" s="161" t="str">
        <f t="shared" si="25"/>
        <v/>
      </c>
      <c r="I537" s="159" t="str">
        <f t="shared" si="26"/>
        <v/>
      </c>
    </row>
    <row r="538" spans="1:9" hidden="1" x14ac:dyDescent="0.25">
      <c r="A538" s="102" t="s">
        <v>3436</v>
      </c>
      <c r="B538" s="103" t="s">
        <v>3437</v>
      </c>
      <c r="C538" s="104" t="s">
        <v>184</v>
      </c>
      <c r="D538" s="104">
        <v>0</v>
      </c>
      <c r="E538" s="158" t="s">
        <v>1079</v>
      </c>
      <c r="F538" s="159" t="str">
        <f t="shared" si="24"/>
        <v/>
      </c>
      <c r="G538" s="160" t="e">
        <f>IF(A538&lt;&gt;"",IF(AND(#REF!="Padrão",$H$4=#REF!),BDI!$B$17,IF(AND(#REF!="Padrão",$H$4=#REF!),BDI!$C$17,IF(AND(#REF!="Diferenciado",$H$4=#REF!),BDI!$G$17,IF(AND(#REF!="Diferenciado",$H$4=#REF!),BDI!$H$17,IF(#REF!="ZERO",0))))),"")</f>
        <v>#REF!</v>
      </c>
      <c r="H538" s="161" t="str">
        <f t="shared" si="25"/>
        <v/>
      </c>
      <c r="I538" s="159" t="str">
        <f t="shared" si="26"/>
        <v/>
      </c>
    </row>
    <row r="539" spans="1:9" hidden="1" x14ac:dyDescent="0.25">
      <c r="A539" s="102" t="s">
        <v>3438</v>
      </c>
      <c r="B539" s="103" t="s">
        <v>3439</v>
      </c>
      <c r="C539" s="104" t="s">
        <v>184</v>
      </c>
      <c r="D539" s="104">
        <v>0</v>
      </c>
      <c r="E539" s="158" t="s">
        <v>1079</v>
      </c>
      <c r="F539" s="159" t="str">
        <f t="shared" si="24"/>
        <v/>
      </c>
      <c r="G539" s="160" t="e">
        <f>IF(A539&lt;&gt;"",IF(AND(#REF!="Padrão",$H$4=#REF!),BDI!$B$17,IF(AND(#REF!="Padrão",$H$4=#REF!),BDI!$C$17,IF(AND(#REF!="Diferenciado",$H$4=#REF!),BDI!$G$17,IF(AND(#REF!="Diferenciado",$H$4=#REF!),BDI!$H$17,IF(#REF!="ZERO",0))))),"")</f>
        <v>#REF!</v>
      </c>
      <c r="H539" s="161" t="str">
        <f t="shared" si="25"/>
        <v/>
      </c>
      <c r="I539" s="159" t="str">
        <f t="shared" si="26"/>
        <v/>
      </c>
    </row>
    <row r="540" spans="1:9" hidden="1" x14ac:dyDescent="0.25">
      <c r="A540" s="102" t="s">
        <v>3440</v>
      </c>
      <c r="B540" s="103" t="s">
        <v>3441</v>
      </c>
      <c r="C540" s="104" t="s">
        <v>184</v>
      </c>
      <c r="D540" s="104">
        <v>0</v>
      </c>
      <c r="E540" s="158" t="s">
        <v>1079</v>
      </c>
      <c r="F540" s="159" t="str">
        <f t="shared" si="24"/>
        <v/>
      </c>
      <c r="G540" s="160" t="e">
        <f>IF(A540&lt;&gt;"",IF(AND(#REF!="Padrão",$H$4=#REF!),BDI!$B$17,IF(AND(#REF!="Padrão",$H$4=#REF!),BDI!$C$17,IF(AND(#REF!="Diferenciado",$H$4=#REF!),BDI!$G$17,IF(AND(#REF!="Diferenciado",$H$4=#REF!),BDI!$H$17,IF(#REF!="ZERO",0))))),"")</f>
        <v>#REF!</v>
      </c>
      <c r="H540" s="161" t="str">
        <f t="shared" si="25"/>
        <v/>
      </c>
      <c r="I540" s="159" t="str">
        <f t="shared" si="26"/>
        <v/>
      </c>
    </row>
    <row r="541" spans="1:9" hidden="1" x14ac:dyDescent="0.25">
      <c r="A541" s="102" t="s">
        <v>3442</v>
      </c>
      <c r="B541" s="103" t="s">
        <v>3443</v>
      </c>
      <c r="C541" s="104" t="s">
        <v>184</v>
      </c>
      <c r="D541" s="104">
        <v>0</v>
      </c>
      <c r="E541" s="158" t="s">
        <v>1079</v>
      </c>
      <c r="F541" s="159" t="str">
        <f t="shared" si="24"/>
        <v/>
      </c>
      <c r="G541" s="160" t="e">
        <f>IF(A541&lt;&gt;"",IF(AND(#REF!="Padrão",$H$4=#REF!),BDI!$B$17,IF(AND(#REF!="Padrão",$H$4=#REF!),BDI!$C$17,IF(AND(#REF!="Diferenciado",$H$4=#REF!),BDI!$G$17,IF(AND(#REF!="Diferenciado",$H$4=#REF!),BDI!$H$17,IF(#REF!="ZERO",0))))),"")</f>
        <v>#REF!</v>
      </c>
      <c r="H541" s="161" t="str">
        <f t="shared" si="25"/>
        <v/>
      </c>
      <c r="I541" s="159" t="str">
        <f t="shared" si="26"/>
        <v/>
      </c>
    </row>
    <row r="542" spans="1:9" hidden="1" x14ac:dyDescent="0.25">
      <c r="A542" s="102" t="s">
        <v>3444</v>
      </c>
      <c r="B542" s="103" t="s">
        <v>3445</v>
      </c>
      <c r="C542" s="104" t="s">
        <v>184</v>
      </c>
      <c r="D542" s="104">
        <v>0</v>
      </c>
      <c r="E542" s="158" t="s">
        <v>1079</v>
      </c>
      <c r="F542" s="159" t="str">
        <f t="shared" si="24"/>
        <v/>
      </c>
      <c r="G542" s="160" t="e">
        <f>IF(A542&lt;&gt;"",IF(AND(#REF!="Padrão",$H$4=#REF!),BDI!$B$17,IF(AND(#REF!="Padrão",$H$4=#REF!),BDI!$C$17,IF(AND(#REF!="Diferenciado",$H$4=#REF!),BDI!$G$17,IF(AND(#REF!="Diferenciado",$H$4=#REF!),BDI!$H$17,IF(#REF!="ZERO",0))))),"")</f>
        <v>#REF!</v>
      </c>
      <c r="H542" s="161" t="str">
        <f t="shared" si="25"/>
        <v/>
      </c>
      <c r="I542" s="159" t="str">
        <f t="shared" si="26"/>
        <v/>
      </c>
    </row>
    <row r="543" spans="1:9" hidden="1" x14ac:dyDescent="0.25">
      <c r="A543" s="102" t="s">
        <v>3446</v>
      </c>
      <c r="B543" s="103" t="s">
        <v>3447</v>
      </c>
      <c r="C543" s="104" t="s">
        <v>32</v>
      </c>
      <c r="D543" s="104">
        <v>0</v>
      </c>
      <c r="E543" s="158" t="s">
        <v>1079</v>
      </c>
      <c r="F543" s="159" t="str">
        <f t="shared" si="24"/>
        <v/>
      </c>
      <c r="G543" s="160" t="e">
        <f>IF(A543&lt;&gt;"",IF(AND(#REF!="Padrão",$H$4=#REF!),BDI!$B$17,IF(AND(#REF!="Padrão",$H$4=#REF!),BDI!$C$17,IF(AND(#REF!="Diferenciado",$H$4=#REF!),BDI!$G$17,IF(AND(#REF!="Diferenciado",$H$4=#REF!),BDI!$H$17,IF(#REF!="ZERO",0))))),"")</f>
        <v>#REF!</v>
      </c>
      <c r="H543" s="161" t="str">
        <f t="shared" si="25"/>
        <v/>
      </c>
      <c r="I543" s="159" t="str">
        <f t="shared" si="26"/>
        <v/>
      </c>
    </row>
    <row r="544" spans="1:9" hidden="1" x14ac:dyDescent="0.25">
      <c r="A544" s="102" t="s">
        <v>3448</v>
      </c>
      <c r="B544" s="103" t="s">
        <v>3449</v>
      </c>
      <c r="C544" s="104" t="s">
        <v>32</v>
      </c>
      <c r="D544" s="104">
        <v>0</v>
      </c>
      <c r="E544" s="158" t="s">
        <v>1079</v>
      </c>
      <c r="F544" s="159" t="str">
        <f t="shared" si="24"/>
        <v/>
      </c>
      <c r="G544" s="160" t="e">
        <f>IF(A544&lt;&gt;"",IF(AND(#REF!="Padrão",$H$4=#REF!),BDI!$B$17,IF(AND(#REF!="Padrão",$H$4=#REF!),BDI!$C$17,IF(AND(#REF!="Diferenciado",$H$4=#REF!),BDI!$G$17,IF(AND(#REF!="Diferenciado",$H$4=#REF!),BDI!$H$17,IF(#REF!="ZERO",0))))),"")</f>
        <v>#REF!</v>
      </c>
      <c r="H544" s="161" t="str">
        <f t="shared" si="25"/>
        <v/>
      </c>
      <c r="I544" s="159" t="str">
        <f t="shared" si="26"/>
        <v/>
      </c>
    </row>
    <row r="545" spans="1:9" hidden="1" x14ac:dyDescent="0.25">
      <c r="A545" s="102" t="s">
        <v>3450</v>
      </c>
      <c r="B545" s="103" t="s">
        <v>3451</v>
      </c>
      <c r="C545" s="104" t="s">
        <v>184</v>
      </c>
      <c r="D545" s="104">
        <v>0</v>
      </c>
      <c r="E545" s="158" t="s">
        <v>1079</v>
      </c>
      <c r="F545" s="159" t="str">
        <f t="shared" si="24"/>
        <v/>
      </c>
      <c r="G545" s="160" t="e">
        <f>IF(A545&lt;&gt;"",IF(AND(#REF!="Padrão",$H$4=#REF!),BDI!$B$17,IF(AND(#REF!="Padrão",$H$4=#REF!),BDI!$C$17,IF(AND(#REF!="Diferenciado",$H$4=#REF!),BDI!$G$17,IF(AND(#REF!="Diferenciado",$H$4=#REF!),BDI!$H$17,IF(#REF!="ZERO",0))))),"")</f>
        <v>#REF!</v>
      </c>
      <c r="H545" s="161" t="str">
        <f t="shared" si="25"/>
        <v/>
      </c>
      <c r="I545" s="159" t="str">
        <f t="shared" si="26"/>
        <v/>
      </c>
    </row>
    <row r="546" spans="1:9" hidden="1" x14ac:dyDescent="0.25">
      <c r="A546" s="102" t="s">
        <v>3452</v>
      </c>
      <c r="B546" s="103" t="s">
        <v>3453</v>
      </c>
      <c r="C546" s="104" t="s">
        <v>184</v>
      </c>
      <c r="D546" s="104">
        <v>0</v>
      </c>
      <c r="E546" s="158" t="s">
        <v>1079</v>
      </c>
      <c r="F546" s="159" t="str">
        <f t="shared" si="24"/>
        <v/>
      </c>
      <c r="G546" s="160" t="e">
        <f>IF(A546&lt;&gt;"",IF(AND(#REF!="Padrão",$H$4=#REF!),BDI!$B$17,IF(AND(#REF!="Padrão",$H$4=#REF!),BDI!$C$17,IF(AND(#REF!="Diferenciado",$H$4=#REF!),BDI!$G$17,IF(AND(#REF!="Diferenciado",$H$4=#REF!),BDI!$H$17,IF(#REF!="ZERO",0))))),"")</f>
        <v>#REF!</v>
      </c>
      <c r="H546" s="161" t="str">
        <f t="shared" si="25"/>
        <v/>
      </c>
      <c r="I546" s="159" t="str">
        <f t="shared" si="26"/>
        <v/>
      </c>
    </row>
    <row r="547" spans="1:9" hidden="1" x14ac:dyDescent="0.25">
      <c r="A547" s="102" t="s">
        <v>3454</v>
      </c>
      <c r="B547" s="103" t="s">
        <v>3455</v>
      </c>
      <c r="C547" s="104" t="s">
        <v>184</v>
      </c>
      <c r="D547" s="104">
        <v>0</v>
      </c>
      <c r="E547" s="158" t="s">
        <v>1079</v>
      </c>
      <c r="F547" s="159" t="str">
        <f t="shared" si="24"/>
        <v/>
      </c>
      <c r="G547" s="160" t="e">
        <f>IF(A547&lt;&gt;"",IF(AND(#REF!="Padrão",$H$4=#REF!),BDI!$B$17,IF(AND(#REF!="Padrão",$H$4=#REF!),BDI!$C$17,IF(AND(#REF!="Diferenciado",$H$4=#REF!),BDI!$G$17,IF(AND(#REF!="Diferenciado",$H$4=#REF!),BDI!$H$17,IF(#REF!="ZERO",0))))),"")</f>
        <v>#REF!</v>
      </c>
      <c r="H547" s="161" t="str">
        <f t="shared" si="25"/>
        <v/>
      </c>
      <c r="I547" s="159" t="str">
        <f t="shared" si="26"/>
        <v/>
      </c>
    </row>
    <row r="548" spans="1:9" hidden="1" x14ac:dyDescent="0.25">
      <c r="A548" s="102" t="s">
        <v>3456</v>
      </c>
      <c r="B548" s="103" t="s">
        <v>3457</v>
      </c>
      <c r="C548" s="104" t="s">
        <v>184</v>
      </c>
      <c r="D548" s="104">
        <v>0</v>
      </c>
      <c r="E548" s="158" t="s">
        <v>1079</v>
      </c>
      <c r="F548" s="159" t="str">
        <f t="shared" si="24"/>
        <v/>
      </c>
      <c r="G548" s="160" t="e">
        <f>IF(A548&lt;&gt;"",IF(AND(#REF!="Padrão",$H$4=#REF!),BDI!$B$17,IF(AND(#REF!="Padrão",$H$4=#REF!),BDI!$C$17,IF(AND(#REF!="Diferenciado",$H$4=#REF!),BDI!$G$17,IF(AND(#REF!="Diferenciado",$H$4=#REF!),BDI!$H$17,IF(#REF!="ZERO",0))))),"")</f>
        <v>#REF!</v>
      </c>
      <c r="H548" s="161" t="str">
        <f t="shared" si="25"/>
        <v/>
      </c>
      <c r="I548" s="159" t="str">
        <f t="shared" si="26"/>
        <v/>
      </c>
    </row>
    <row r="549" spans="1:9" hidden="1" x14ac:dyDescent="0.25">
      <c r="A549" s="102" t="s">
        <v>3458</v>
      </c>
      <c r="B549" s="103" t="s">
        <v>3459</v>
      </c>
      <c r="C549" s="104" t="s">
        <v>184</v>
      </c>
      <c r="D549" s="104">
        <v>0</v>
      </c>
      <c r="E549" s="158" t="s">
        <v>1079</v>
      </c>
      <c r="F549" s="159" t="str">
        <f t="shared" si="24"/>
        <v/>
      </c>
      <c r="G549" s="160" t="e">
        <f>IF(A549&lt;&gt;"",IF(AND(#REF!="Padrão",$H$4=#REF!),BDI!$B$17,IF(AND(#REF!="Padrão",$H$4=#REF!),BDI!$C$17,IF(AND(#REF!="Diferenciado",$H$4=#REF!),BDI!$G$17,IF(AND(#REF!="Diferenciado",$H$4=#REF!),BDI!$H$17,IF(#REF!="ZERO",0))))),"")</f>
        <v>#REF!</v>
      </c>
      <c r="H549" s="161" t="str">
        <f t="shared" si="25"/>
        <v/>
      </c>
      <c r="I549" s="159" t="str">
        <f t="shared" si="26"/>
        <v/>
      </c>
    </row>
    <row r="550" spans="1:9" hidden="1" x14ac:dyDescent="0.25">
      <c r="A550" s="102" t="s">
        <v>3460</v>
      </c>
      <c r="B550" s="103" t="s">
        <v>3461</v>
      </c>
      <c r="C550" s="104" t="s">
        <v>184</v>
      </c>
      <c r="D550" s="104">
        <v>0</v>
      </c>
      <c r="E550" s="158" t="s">
        <v>1079</v>
      </c>
      <c r="F550" s="159" t="str">
        <f t="shared" si="24"/>
        <v/>
      </c>
      <c r="G550" s="160" t="e">
        <f>IF(A550&lt;&gt;"",IF(AND(#REF!="Padrão",$H$4=#REF!),BDI!$B$17,IF(AND(#REF!="Padrão",$H$4=#REF!),BDI!$C$17,IF(AND(#REF!="Diferenciado",$H$4=#REF!),BDI!$G$17,IF(AND(#REF!="Diferenciado",$H$4=#REF!),BDI!$H$17,IF(#REF!="ZERO",0))))),"")</f>
        <v>#REF!</v>
      </c>
      <c r="H550" s="161" t="str">
        <f t="shared" si="25"/>
        <v/>
      </c>
      <c r="I550" s="159" t="str">
        <f t="shared" si="26"/>
        <v/>
      </c>
    </row>
    <row r="551" spans="1:9" hidden="1" x14ac:dyDescent="0.25">
      <c r="A551" s="102" t="s">
        <v>3462</v>
      </c>
      <c r="B551" s="103" t="s">
        <v>3463</v>
      </c>
      <c r="C551" s="104" t="s">
        <v>184</v>
      </c>
      <c r="D551" s="104">
        <v>0</v>
      </c>
      <c r="E551" s="158" t="s">
        <v>1079</v>
      </c>
      <c r="F551" s="159" t="str">
        <f t="shared" si="24"/>
        <v/>
      </c>
      <c r="G551" s="160" t="e">
        <f>IF(A551&lt;&gt;"",IF(AND(#REF!="Padrão",$H$4=#REF!),BDI!$B$17,IF(AND(#REF!="Padrão",$H$4=#REF!),BDI!$C$17,IF(AND(#REF!="Diferenciado",$H$4=#REF!),BDI!$G$17,IF(AND(#REF!="Diferenciado",$H$4=#REF!),BDI!$H$17,IF(#REF!="ZERO",0))))),"")</f>
        <v>#REF!</v>
      </c>
      <c r="H551" s="161" t="str">
        <f t="shared" si="25"/>
        <v/>
      </c>
      <c r="I551" s="159" t="str">
        <f t="shared" si="26"/>
        <v/>
      </c>
    </row>
    <row r="552" spans="1:9" hidden="1" x14ac:dyDescent="0.25">
      <c r="A552" s="102" t="s">
        <v>3464</v>
      </c>
      <c r="B552" s="103" t="s">
        <v>3465</v>
      </c>
      <c r="C552" s="104" t="s">
        <v>184</v>
      </c>
      <c r="D552" s="104">
        <v>0</v>
      </c>
      <c r="E552" s="158" t="s">
        <v>1079</v>
      </c>
      <c r="F552" s="159" t="str">
        <f t="shared" si="24"/>
        <v/>
      </c>
      <c r="G552" s="160" t="e">
        <f>IF(A552&lt;&gt;"",IF(AND(#REF!="Padrão",$H$4=#REF!),BDI!$B$17,IF(AND(#REF!="Padrão",$H$4=#REF!),BDI!$C$17,IF(AND(#REF!="Diferenciado",$H$4=#REF!),BDI!$G$17,IF(AND(#REF!="Diferenciado",$H$4=#REF!),BDI!$H$17,IF(#REF!="ZERO",0))))),"")</f>
        <v>#REF!</v>
      </c>
      <c r="H552" s="161" t="str">
        <f t="shared" si="25"/>
        <v/>
      </c>
      <c r="I552" s="159" t="str">
        <f t="shared" si="26"/>
        <v/>
      </c>
    </row>
    <row r="553" spans="1:9" hidden="1" x14ac:dyDescent="0.25">
      <c r="A553" s="102" t="s">
        <v>3466</v>
      </c>
      <c r="B553" s="103" t="s">
        <v>3467</v>
      </c>
      <c r="C553" s="104" t="s">
        <v>184</v>
      </c>
      <c r="D553" s="104">
        <v>0</v>
      </c>
      <c r="E553" s="158" t="s">
        <v>1079</v>
      </c>
      <c r="F553" s="159" t="str">
        <f t="shared" si="24"/>
        <v/>
      </c>
      <c r="G553" s="160" t="e">
        <f>IF(A553&lt;&gt;"",IF(AND(#REF!="Padrão",$H$4=#REF!),BDI!$B$17,IF(AND(#REF!="Padrão",$H$4=#REF!),BDI!$C$17,IF(AND(#REF!="Diferenciado",$H$4=#REF!),BDI!$G$17,IF(AND(#REF!="Diferenciado",$H$4=#REF!),BDI!$H$17,IF(#REF!="ZERO",0))))),"")</f>
        <v>#REF!</v>
      </c>
      <c r="H553" s="161" t="str">
        <f t="shared" si="25"/>
        <v/>
      </c>
      <c r="I553" s="159" t="str">
        <f t="shared" si="26"/>
        <v/>
      </c>
    </row>
    <row r="554" spans="1:9" hidden="1" x14ac:dyDescent="0.25">
      <c r="A554" s="102" t="s">
        <v>3468</v>
      </c>
      <c r="B554" s="103" t="s">
        <v>3469</v>
      </c>
      <c r="C554" s="104" t="s">
        <v>184</v>
      </c>
      <c r="D554" s="104">
        <v>0</v>
      </c>
      <c r="E554" s="158" t="s">
        <v>1079</v>
      </c>
      <c r="F554" s="159" t="str">
        <f t="shared" si="24"/>
        <v/>
      </c>
      <c r="G554" s="160" t="e">
        <f>IF(A554&lt;&gt;"",IF(AND(#REF!="Padrão",$H$4=#REF!),BDI!$B$17,IF(AND(#REF!="Padrão",$H$4=#REF!),BDI!$C$17,IF(AND(#REF!="Diferenciado",$H$4=#REF!),BDI!$G$17,IF(AND(#REF!="Diferenciado",$H$4=#REF!),BDI!$H$17,IF(#REF!="ZERO",0))))),"")</f>
        <v>#REF!</v>
      </c>
      <c r="H554" s="161" t="str">
        <f t="shared" si="25"/>
        <v/>
      </c>
      <c r="I554" s="159" t="str">
        <f t="shared" si="26"/>
        <v/>
      </c>
    </row>
    <row r="555" spans="1:9" hidden="1" x14ac:dyDescent="0.25">
      <c r="A555" s="102" t="s">
        <v>3470</v>
      </c>
      <c r="B555" s="103" t="s">
        <v>3471</v>
      </c>
      <c r="C555" s="104" t="s">
        <v>184</v>
      </c>
      <c r="D555" s="104">
        <v>0</v>
      </c>
      <c r="E555" s="158" t="s">
        <v>1079</v>
      </c>
      <c r="F555" s="159" t="str">
        <f t="shared" si="24"/>
        <v/>
      </c>
      <c r="G555" s="160" t="e">
        <f>IF(A555&lt;&gt;"",IF(AND(#REF!="Padrão",$H$4=#REF!),BDI!$B$17,IF(AND(#REF!="Padrão",$H$4=#REF!),BDI!$C$17,IF(AND(#REF!="Diferenciado",$H$4=#REF!),BDI!$G$17,IF(AND(#REF!="Diferenciado",$H$4=#REF!),BDI!$H$17,IF(#REF!="ZERO",0))))),"")</f>
        <v>#REF!</v>
      </c>
      <c r="H555" s="161" t="str">
        <f t="shared" si="25"/>
        <v/>
      </c>
      <c r="I555" s="159" t="str">
        <f t="shared" si="26"/>
        <v/>
      </c>
    </row>
    <row r="556" spans="1:9" hidden="1" x14ac:dyDescent="0.25">
      <c r="A556" s="102" t="s">
        <v>3472</v>
      </c>
      <c r="B556" s="103" t="s">
        <v>3473</v>
      </c>
      <c r="C556" s="104" t="s">
        <v>184</v>
      </c>
      <c r="D556" s="104">
        <v>0</v>
      </c>
      <c r="E556" s="158" t="s">
        <v>1079</v>
      </c>
      <c r="F556" s="159" t="str">
        <f t="shared" si="24"/>
        <v/>
      </c>
      <c r="G556" s="160" t="e">
        <f>IF(A556&lt;&gt;"",IF(AND(#REF!="Padrão",$H$4=#REF!),BDI!$B$17,IF(AND(#REF!="Padrão",$H$4=#REF!),BDI!$C$17,IF(AND(#REF!="Diferenciado",$H$4=#REF!),BDI!$G$17,IF(AND(#REF!="Diferenciado",$H$4=#REF!),BDI!$H$17,IF(#REF!="ZERO",0))))),"")</f>
        <v>#REF!</v>
      </c>
      <c r="H556" s="161" t="str">
        <f t="shared" si="25"/>
        <v/>
      </c>
      <c r="I556" s="159" t="str">
        <f t="shared" si="26"/>
        <v/>
      </c>
    </row>
    <row r="557" spans="1:9" hidden="1" x14ac:dyDescent="0.25">
      <c r="A557" s="102" t="s">
        <v>3474</v>
      </c>
      <c r="B557" s="103" t="s">
        <v>3475</v>
      </c>
      <c r="C557" s="104" t="s">
        <v>184</v>
      </c>
      <c r="D557" s="104">
        <v>0</v>
      </c>
      <c r="E557" s="158" t="s">
        <v>1079</v>
      </c>
      <c r="F557" s="159" t="str">
        <f t="shared" si="24"/>
        <v/>
      </c>
      <c r="G557" s="160" t="e">
        <f>IF(A557&lt;&gt;"",IF(AND(#REF!="Padrão",$H$4=#REF!),BDI!$B$17,IF(AND(#REF!="Padrão",$H$4=#REF!),BDI!$C$17,IF(AND(#REF!="Diferenciado",$H$4=#REF!),BDI!$G$17,IF(AND(#REF!="Diferenciado",$H$4=#REF!),BDI!$H$17,IF(#REF!="ZERO",0))))),"")</f>
        <v>#REF!</v>
      </c>
      <c r="H557" s="161" t="str">
        <f t="shared" si="25"/>
        <v/>
      </c>
      <c r="I557" s="159" t="str">
        <f t="shared" si="26"/>
        <v/>
      </c>
    </row>
    <row r="558" spans="1:9" hidden="1" x14ac:dyDescent="0.25">
      <c r="A558" s="102" t="s">
        <v>3476</v>
      </c>
      <c r="B558" s="103" t="s">
        <v>3477</v>
      </c>
      <c r="C558" s="104" t="s">
        <v>184</v>
      </c>
      <c r="D558" s="104">
        <v>0</v>
      </c>
      <c r="E558" s="158" t="s">
        <v>1079</v>
      </c>
      <c r="F558" s="159" t="str">
        <f t="shared" si="24"/>
        <v/>
      </c>
      <c r="G558" s="160" t="e">
        <f>IF(A558&lt;&gt;"",IF(AND(#REF!="Padrão",$H$4=#REF!),BDI!$B$17,IF(AND(#REF!="Padrão",$H$4=#REF!),BDI!$C$17,IF(AND(#REF!="Diferenciado",$H$4=#REF!),BDI!$G$17,IF(AND(#REF!="Diferenciado",$H$4=#REF!),BDI!$H$17,IF(#REF!="ZERO",0))))),"")</f>
        <v>#REF!</v>
      </c>
      <c r="H558" s="161" t="str">
        <f t="shared" si="25"/>
        <v/>
      </c>
      <c r="I558" s="159" t="str">
        <f t="shared" si="26"/>
        <v/>
      </c>
    </row>
    <row r="559" spans="1:9" hidden="1" x14ac:dyDescent="0.25">
      <c r="A559" s="102" t="s">
        <v>3478</v>
      </c>
      <c r="B559" s="103" t="s">
        <v>3479</v>
      </c>
      <c r="C559" s="104" t="s">
        <v>184</v>
      </c>
      <c r="D559" s="104">
        <v>0</v>
      </c>
      <c r="E559" s="158" t="s">
        <v>1079</v>
      </c>
      <c r="F559" s="159" t="str">
        <f t="shared" si="24"/>
        <v/>
      </c>
      <c r="G559" s="160" t="e">
        <f>IF(A559&lt;&gt;"",IF(AND(#REF!="Padrão",$H$4=#REF!),BDI!$B$17,IF(AND(#REF!="Padrão",$H$4=#REF!),BDI!$C$17,IF(AND(#REF!="Diferenciado",$H$4=#REF!),BDI!$G$17,IF(AND(#REF!="Diferenciado",$H$4=#REF!),BDI!$H$17,IF(#REF!="ZERO",0))))),"")</f>
        <v>#REF!</v>
      </c>
      <c r="H559" s="161" t="str">
        <f t="shared" si="25"/>
        <v/>
      </c>
      <c r="I559" s="159" t="str">
        <f t="shared" si="26"/>
        <v/>
      </c>
    </row>
    <row r="560" spans="1:9" hidden="1" x14ac:dyDescent="0.25">
      <c r="A560" s="102" t="s">
        <v>3480</v>
      </c>
      <c r="B560" s="103" t="s">
        <v>3481</v>
      </c>
      <c r="C560" s="104" t="s">
        <v>184</v>
      </c>
      <c r="D560" s="104">
        <v>0</v>
      </c>
      <c r="E560" s="158" t="s">
        <v>1079</v>
      </c>
      <c r="F560" s="159" t="str">
        <f t="shared" si="24"/>
        <v/>
      </c>
      <c r="G560" s="160" t="e">
        <f>IF(A560&lt;&gt;"",IF(AND(#REF!="Padrão",$H$4=#REF!),BDI!$B$17,IF(AND(#REF!="Padrão",$H$4=#REF!),BDI!$C$17,IF(AND(#REF!="Diferenciado",$H$4=#REF!),BDI!$G$17,IF(AND(#REF!="Diferenciado",$H$4=#REF!),BDI!$H$17,IF(#REF!="ZERO",0))))),"")</f>
        <v>#REF!</v>
      </c>
      <c r="H560" s="161" t="str">
        <f t="shared" si="25"/>
        <v/>
      </c>
      <c r="I560" s="159" t="str">
        <f t="shared" si="26"/>
        <v/>
      </c>
    </row>
    <row r="561" spans="1:9" ht="25.5" hidden="1" x14ac:dyDescent="0.25">
      <c r="A561" s="102" t="s">
        <v>3482</v>
      </c>
      <c r="B561" s="103" t="s">
        <v>3483</v>
      </c>
      <c r="C561" s="104" t="s">
        <v>3484</v>
      </c>
      <c r="D561" s="104">
        <v>0</v>
      </c>
      <c r="E561" s="158" t="s">
        <v>1079</v>
      </c>
      <c r="F561" s="159" t="str">
        <f t="shared" si="24"/>
        <v/>
      </c>
      <c r="G561" s="160" t="e">
        <f>IF(A561&lt;&gt;"",IF(AND(#REF!="Padrão",$H$4=#REF!),BDI!$B$17,IF(AND(#REF!="Padrão",$H$4=#REF!),BDI!$C$17,IF(AND(#REF!="Diferenciado",$H$4=#REF!),BDI!$G$17,IF(AND(#REF!="Diferenciado",$H$4=#REF!),BDI!$H$17,IF(#REF!="ZERO",0))))),"")</f>
        <v>#REF!</v>
      </c>
      <c r="H561" s="161" t="str">
        <f t="shared" si="25"/>
        <v/>
      </c>
      <c r="I561" s="159" t="str">
        <f t="shared" si="26"/>
        <v/>
      </c>
    </row>
    <row r="562" spans="1:9" hidden="1" x14ac:dyDescent="0.25">
      <c r="A562" s="102" t="s">
        <v>3485</v>
      </c>
      <c r="B562" s="103" t="s">
        <v>3486</v>
      </c>
      <c r="C562" s="104" t="s">
        <v>189</v>
      </c>
      <c r="D562" s="104">
        <v>0</v>
      </c>
      <c r="E562" s="158" t="s">
        <v>1079</v>
      </c>
      <c r="F562" s="159" t="str">
        <f t="shared" si="24"/>
        <v/>
      </c>
      <c r="G562" s="160" t="e">
        <f>IF(A562&lt;&gt;"",IF(AND(#REF!="Padrão",$H$4=#REF!),BDI!$B$17,IF(AND(#REF!="Padrão",$H$4=#REF!),BDI!$C$17,IF(AND(#REF!="Diferenciado",$H$4=#REF!),BDI!$G$17,IF(AND(#REF!="Diferenciado",$H$4=#REF!),BDI!$H$17,IF(#REF!="ZERO",0))))),"")</f>
        <v>#REF!</v>
      </c>
      <c r="H562" s="161" t="str">
        <f t="shared" si="25"/>
        <v/>
      </c>
      <c r="I562" s="159" t="str">
        <f t="shared" si="26"/>
        <v/>
      </c>
    </row>
    <row r="563" spans="1:9" hidden="1" x14ac:dyDescent="0.25">
      <c r="A563" s="102" t="s">
        <v>3487</v>
      </c>
      <c r="B563" s="103" t="s">
        <v>3488</v>
      </c>
      <c r="C563" s="104" t="s">
        <v>189</v>
      </c>
      <c r="D563" s="104">
        <v>0</v>
      </c>
      <c r="E563" s="158" t="s">
        <v>1079</v>
      </c>
      <c r="F563" s="159" t="str">
        <f t="shared" si="24"/>
        <v/>
      </c>
      <c r="G563" s="160" t="e">
        <f>IF(A563&lt;&gt;"",IF(AND(#REF!="Padrão",$H$4=#REF!),BDI!$B$17,IF(AND(#REF!="Padrão",$H$4=#REF!),BDI!$C$17,IF(AND(#REF!="Diferenciado",$H$4=#REF!),BDI!$G$17,IF(AND(#REF!="Diferenciado",$H$4=#REF!),BDI!$H$17,IF(#REF!="ZERO",0))))),"")</f>
        <v>#REF!</v>
      </c>
      <c r="H563" s="161" t="str">
        <f t="shared" si="25"/>
        <v/>
      </c>
      <c r="I563" s="159" t="str">
        <f t="shared" si="26"/>
        <v/>
      </c>
    </row>
    <row r="564" spans="1:9" hidden="1" x14ac:dyDescent="0.25">
      <c r="A564" s="102" t="s">
        <v>3489</v>
      </c>
      <c r="B564" s="103" t="s">
        <v>3490</v>
      </c>
      <c r="C564" s="104" t="s">
        <v>75</v>
      </c>
      <c r="D564" s="104">
        <v>0</v>
      </c>
      <c r="E564" s="158" t="s">
        <v>1079</v>
      </c>
      <c r="F564" s="159" t="str">
        <f t="shared" si="24"/>
        <v/>
      </c>
      <c r="G564" s="160" t="e">
        <f>IF(A564&lt;&gt;"",IF(AND(#REF!="Padrão",$H$4=#REF!),BDI!$B$17,IF(AND(#REF!="Padrão",$H$4=#REF!),BDI!$C$17,IF(AND(#REF!="Diferenciado",$H$4=#REF!),BDI!$G$17,IF(AND(#REF!="Diferenciado",$H$4=#REF!),BDI!$H$17,IF(#REF!="ZERO",0))))),"")</f>
        <v>#REF!</v>
      </c>
      <c r="H564" s="161" t="str">
        <f t="shared" si="25"/>
        <v/>
      </c>
      <c r="I564" s="159" t="str">
        <f t="shared" si="26"/>
        <v/>
      </c>
    </row>
    <row r="565" spans="1:9" hidden="1" x14ac:dyDescent="0.25">
      <c r="A565" s="102" t="s">
        <v>3491</v>
      </c>
      <c r="B565" s="103" t="s">
        <v>3492</v>
      </c>
      <c r="C565" s="104" t="s">
        <v>75</v>
      </c>
      <c r="D565" s="104">
        <v>0</v>
      </c>
      <c r="E565" s="158" t="s">
        <v>1079</v>
      </c>
      <c r="F565" s="159" t="str">
        <f t="shared" si="24"/>
        <v/>
      </c>
      <c r="G565" s="160" t="e">
        <f>IF(A565&lt;&gt;"",IF(AND(#REF!="Padrão",$H$4=#REF!),BDI!$B$17,IF(AND(#REF!="Padrão",$H$4=#REF!),BDI!$C$17,IF(AND(#REF!="Diferenciado",$H$4=#REF!),BDI!$G$17,IF(AND(#REF!="Diferenciado",$H$4=#REF!),BDI!$H$17,IF(#REF!="ZERO",0))))),"")</f>
        <v>#REF!</v>
      </c>
      <c r="H565" s="161" t="str">
        <f t="shared" si="25"/>
        <v/>
      </c>
      <c r="I565" s="159" t="str">
        <f t="shared" si="26"/>
        <v/>
      </c>
    </row>
    <row r="566" spans="1:9" hidden="1" x14ac:dyDescent="0.25">
      <c r="A566" s="102" t="s">
        <v>3493</v>
      </c>
      <c r="B566" s="103" t="s">
        <v>3494</v>
      </c>
      <c r="C566" s="104" t="s">
        <v>184</v>
      </c>
      <c r="D566" s="104">
        <v>0</v>
      </c>
      <c r="E566" s="158" t="s">
        <v>1079</v>
      </c>
      <c r="F566" s="159" t="str">
        <f t="shared" si="24"/>
        <v/>
      </c>
      <c r="G566" s="160" t="e">
        <f>IF(A566&lt;&gt;"",IF(AND(#REF!="Padrão",$H$4=#REF!),BDI!$B$17,IF(AND(#REF!="Padrão",$H$4=#REF!),BDI!$C$17,IF(AND(#REF!="Diferenciado",$H$4=#REF!),BDI!$G$17,IF(AND(#REF!="Diferenciado",$H$4=#REF!),BDI!$H$17,IF(#REF!="ZERO",0))))),"")</f>
        <v>#REF!</v>
      </c>
      <c r="H566" s="161" t="str">
        <f t="shared" si="25"/>
        <v/>
      </c>
      <c r="I566" s="159" t="str">
        <f t="shared" si="26"/>
        <v/>
      </c>
    </row>
    <row r="567" spans="1:9" hidden="1" x14ac:dyDescent="0.25">
      <c r="A567" s="102" t="s">
        <v>3495</v>
      </c>
      <c r="B567" s="103" t="s">
        <v>3496</v>
      </c>
      <c r="C567" s="104" t="s">
        <v>32</v>
      </c>
      <c r="D567" s="104">
        <v>0</v>
      </c>
      <c r="E567" s="158" t="s">
        <v>1079</v>
      </c>
      <c r="F567" s="159" t="str">
        <f t="shared" si="24"/>
        <v/>
      </c>
      <c r="G567" s="160" t="e">
        <f>IF(A567&lt;&gt;"",IF(AND(#REF!="Padrão",$H$4=#REF!),BDI!$B$17,IF(AND(#REF!="Padrão",$H$4=#REF!),BDI!$C$17,IF(AND(#REF!="Diferenciado",$H$4=#REF!),BDI!$G$17,IF(AND(#REF!="Diferenciado",$H$4=#REF!),BDI!$H$17,IF(#REF!="ZERO",0))))),"")</f>
        <v>#REF!</v>
      </c>
      <c r="H567" s="161" t="str">
        <f t="shared" si="25"/>
        <v/>
      </c>
      <c r="I567" s="159" t="str">
        <f t="shared" si="26"/>
        <v/>
      </c>
    </row>
    <row r="568" spans="1:9" hidden="1" x14ac:dyDescent="0.25">
      <c r="A568" s="102" t="s">
        <v>1442</v>
      </c>
      <c r="B568" s="103" t="s">
        <v>3497</v>
      </c>
      <c r="C568" s="104" t="s">
        <v>3498</v>
      </c>
      <c r="D568" s="104">
        <v>0</v>
      </c>
      <c r="E568" s="158">
        <f ca="1">OFFSET(INDEX(Composições!A:J,MATCH(Orçamentária!A568,Composições!A:A,0),10),2,0)</f>
        <v>15.959999999999999</v>
      </c>
      <c r="F568" s="159">
        <f t="shared" ca="1" si="24"/>
        <v>0</v>
      </c>
      <c r="G568" s="160" t="e">
        <f>IF(A568&lt;&gt;"",IF(AND(#REF!="Padrão",$H$4=#REF!),BDI!$B$17,IF(AND(#REF!="Padrão",$H$4=#REF!),BDI!$C$17,IF(AND(#REF!="Diferenciado",$H$4=#REF!),BDI!$G$17,IF(AND(#REF!="Diferenciado",$H$4=#REF!),BDI!$H$17,IF(#REF!="ZERO",0))))),"")</f>
        <v>#REF!</v>
      </c>
      <c r="H568" s="161" t="e">
        <f t="shared" ca="1" si="25"/>
        <v>#REF!</v>
      </c>
      <c r="I568" s="159" t="e">
        <f t="shared" ca="1" si="26"/>
        <v>#REF!</v>
      </c>
    </row>
    <row r="569" spans="1:9" hidden="1" x14ac:dyDescent="0.25">
      <c r="A569" s="102" t="s">
        <v>1445</v>
      </c>
      <c r="B569" s="103" t="s">
        <v>3499</v>
      </c>
      <c r="C569" s="104" t="s">
        <v>3498</v>
      </c>
      <c r="D569" s="104">
        <v>0</v>
      </c>
      <c r="E569" s="158">
        <f ca="1">OFFSET(INDEX(Composições!A:J,MATCH(Orçamentária!A569,Composições!A:A,0),10),2,0)</f>
        <v>13.68</v>
      </c>
      <c r="F569" s="159">
        <f t="shared" ca="1" si="24"/>
        <v>0</v>
      </c>
      <c r="G569" s="160" t="e">
        <f>IF(A569&lt;&gt;"",IF(AND(#REF!="Padrão",$H$4=#REF!),BDI!$B$17,IF(AND(#REF!="Padrão",$H$4=#REF!),BDI!$C$17,IF(AND(#REF!="Diferenciado",$H$4=#REF!),BDI!$G$17,IF(AND(#REF!="Diferenciado",$H$4=#REF!),BDI!$H$17,IF(#REF!="ZERO",0))))),"")</f>
        <v>#REF!</v>
      </c>
      <c r="H569" s="161" t="e">
        <f t="shared" ca="1" si="25"/>
        <v>#REF!</v>
      </c>
      <c r="I569" s="159" t="e">
        <f t="shared" ca="1" si="26"/>
        <v>#REF!</v>
      </c>
    </row>
    <row r="570" spans="1:9" hidden="1" x14ac:dyDescent="0.25">
      <c r="A570" s="102" t="s">
        <v>1447</v>
      </c>
      <c r="B570" s="103" t="s">
        <v>3500</v>
      </c>
      <c r="C570" s="104" t="s">
        <v>3501</v>
      </c>
      <c r="D570" s="104">
        <v>0</v>
      </c>
      <c r="E570" s="158">
        <f ca="1">OFFSET(INDEX(Composições!A:J,MATCH(Orçamentária!A570,Composições!A:A,0),10),2,0)</f>
        <v>19</v>
      </c>
      <c r="F570" s="159">
        <f t="shared" ca="1" si="24"/>
        <v>0</v>
      </c>
      <c r="G570" s="160" t="e">
        <f>IF(A570&lt;&gt;"",IF(AND(#REF!="Padrão",$H$4=#REF!),BDI!$B$17,IF(AND(#REF!="Padrão",$H$4=#REF!),BDI!$C$17,IF(AND(#REF!="Diferenciado",$H$4=#REF!),BDI!$G$17,IF(AND(#REF!="Diferenciado",$H$4=#REF!),BDI!$H$17,IF(#REF!="ZERO",0))))),"")</f>
        <v>#REF!</v>
      </c>
      <c r="H570" s="161" t="e">
        <f t="shared" ca="1" si="25"/>
        <v>#REF!</v>
      </c>
      <c r="I570" s="159" t="e">
        <f t="shared" ca="1" si="26"/>
        <v>#REF!</v>
      </c>
    </row>
    <row r="571" spans="1:9" hidden="1" x14ac:dyDescent="0.25">
      <c r="A571" s="102" t="s">
        <v>1449</v>
      </c>
      <c r="B571" s="103" t="s">
        <v>3502</v>
      </c>
      <c r="C571" s="104" t="s">
        <v>3503</v>
      </c>
      <c r="D571" s="104">
        <v>0</v>
      </c>
      <c r="E571" s="158">
        <f ca="1">OFFSET(INDEX(Composições!A:J,MATCH(Orçamentária!A571,Composições!A:A,0),10),2,0)</f>
        <v>23.18</v>
      </c>
      <c r="F571" s="159">
        <f t="shared" ca="1" si="24"/>
        <v>0</v>
      </c>
      <c r="G571" s="160" t="e">
        <f>IF(A571&lt;&gt;"",IF(AND(#REF!="Padrão",$H$4=#REF!),BDI!$B$17,IF(AND(#REF!="Padrão",$H$4=#REF!),BDI!$C$17,IF(AND(#REF!="Diferenciado",$H$4=#REF!),BDI!$G$17,IF(AND(#REF!="Diferenciado",$H$4=#REF!),BDI!$H$17,IF(#REF!="ZERO",0))))),"")</f>
        <v>#REF!</v>
      </c>
      <c r="H571" s="161" t="e">
        <f t="shared" ca="1" si="25"/>
        <v>#REF!</v>
      </c>
      <c r="I571" s="159" t="e">
        <f t="shared" ca="1" si="26"/>
        <v>#REF!</v>
      </c>
    </row>
    <row r="572" spans="1:9" hidden="1" x14ac:dyDescent="0.25">
      <c r="A572" s="102" t="s">
        <v>1451</v>
      </c>
      <c r="B572" s="103" t="s">
        <v>3504</v>
      </c>
      <c r="C572" s="104" t="s">
        <v>3498</v>
      </c>
      <c r="D572" s="104">
        <v>0</v>
      </c>
      <c r="E572" s="158">
        <f ca="1">OFFSET(INDEX(Composições!A:J,MATCH(Orçamentária!A572,Composições!A:A,0),10),2,0)</f>
        <v>23.18</v>
      </c>
      <c r="F572" s="159">
        <f t="shared" ca="1" si="24"/>
        <v>0</v>
      </c>
      <c r="G572" s="160" t="e">
        <f>IF(A572&lt;&gt;"",IF(AND(#REF!="Padrão",$H$4=#REF!),BDI!$B$17,IF(AND(#REF!="Padrão",$H$4=#REF!),BDI!$C$17,IF(AND(#REF!="Diferenciado",$H$4=#REF!),BDI!$G$17,IF(AND(#REF!="Diferenciado",$H$4=#REF!),BDI!$H$17,IF(#REF!="ZERO",0))))),"")</f>
        <v>#REF!</v>
      </c>
      <c r="H572" s="161" t="e">
        <f t="shared" ca="1" si="25"/>
        <v>#REF!</v>
      </c>
      <c r="I572" s="159" t="e">
        <f t="shared" ca="1" si="26"/>
        <v>#REF!</v>
      </c>
    </row>
    <row r="573" spans="1:9" hidden="1" x14ac:dyDescent="0.25">
      <c r="A573" s="102" t="s">
        <v>1454</v>
      </c>
      <c r="B573" s="103" t="s">
        <v>3505</v>
      </c>
      <c r="C573" s="104" t="s">
        <v>228</v>
      </c>
      <c r="D573" s="104">
        <v>0</v>
      </c>
      <c r="E573" s="158">
        <f ca="1">OFFSET(INDEX(Composições!A:J,MATCH(Orçamentária!A573,Composições!A:A,0),10),2,0)</f>
        <v>108.446281</v>
      </c>
      <c r="F573" s="159">
        <f t="shared" ca="1" si="24"/>
        <v>0</v>
      </c>
      <c r="G573" s="160" t="e">
        <f>IF(A573&lt;&gt;"",IF(AND(#REF!="Padrão",$H$4=#REF!),BDI!$B$17,IF(AND(#REF!="Padrão",$H$4=#REF!),BDI!$C$17,IF(AND(#REF!="Diferenciado",$H$4=#REF!),BDI!$G$17,IF(AND(#REF!="Diferenciado",$H$4=#REF!),BDI!$H$17,IF(#REF!="ZERO",0))))),"")</f>
        <v>#REF!</v>
      </c>
      <c r="H573" s="161" t="e">
        <f t="shared" ca="1" si="25"/>
        <v>#REF!</v>
      </c>
      <c r="I573" s="159" t="e">
        <f t="shared" ca="1" si="26"/>
        <v>#REF!</v>
      </c>
    </row>
    <row r="574" spans="1:9" hidden="1" x14ac:dyDescent="0.25">
      <c r="A574" s="102" t="s">
        <v>1460</v>
      </c>
      <c r="B574" s="103" t="s">
        <v>3506</v>
      </c>
      <c r="C574" s="104" t="s">
        <v>228</v>
      </c>
      <c r="D574" s="104">
        <v>0</v>
      </c>
      <c r="E574" s="158">
        <f ca="1">OFFSET(INDEX(Composições!A:J,MATCH(Orçamentária!A574,Composições!A:A,0),10),2,0)</f>
        <v>93.901781</v>
      </c>
      <c r="F574" s="159">
        <f t="shared" ca="1" si="24"/>
        <v>0</v>
      </c>
      <c r="G574" s="160" t="e">
        <f>IF(A574&lt;&gt;"",IF(AND(#REF!="Padrão",$H$4=#REF!),BDI!$B$17,IF(AND(#REF!="Padrão",$H$4=#REF!),BDI!$C$17,IF(AND(#REF!="Diferenciado",$H$4=#REF!),BDI!$G$17,IF(AND(#REF!="Diferenciado",$H$4=#REF!),BDI!$H$17,IF(#REF!="ZERO",0))))),"")</f>
        <v>#REF!</v>
      </c>
      <c r="H574" s="161" t="e">
        <f t="shared" ca="1" si="25"/>
        <v>#REF!</v>
      </c>
      <c r="I574" s="159" t="e">
        <f t="shared" ca="1" si="26"/>
        <v>#REF!</v>
      </c>
    </row>
    <row r="575" spans="1:9" hidden="1" x14ac:dyDescent="0.25">
      <c r="A575" s="102" t="s">
        <v>1464</v>
      </c>
      <c r="B575" s="103" t="s">
        <v>3507</v>
      </c>
      <c r="C575" s="104" t="s">
        <v>228</v>
      </c>
      <c r="D575" s="104">
        <v>0</v>
      </c>
      <c r="E575" s="158">
        <f ca="1">OFFSET(INDEX(Composições!A:J,MATCH(Orçamentária!A575,Composições!A:A,0),10),2,0)</f>
        <v>76.716280999999981</v>
      </c>
      <c r="F575" s="159">
        <f t="shared" ca="1" si="24"/>
        <v>0</v>
      </c>
      <c r="G575" s="160" t="e">
        <f>IF(A575&lt;&gt;"",IF(AND(#REF!="Padrão",$H$4=#REF!),BDI!$B$17,IF(AND(#REF!="Padrão",$H$4=#REF!),BDI!$C$17,IF(AND(#REF!="Diferenciado",$H$4=#REF!),BDI!$G$17,IF(AND(#REF!="Diferenciado",$H$4=#REF!),BDI!$H$17,IF(#REF!="ZERO",0))))),"")</f>
        <v>#REF!</v>
      </c>
      <c r="H575" s="161" t="e">
        <f t="shared" ca="1" si="25"/>
        <v>#REF!</v>
      </c>
      <c r="I575" s="159" t="e">
        <f t="shared" ca="1" si="26"/>
        <v>#REF!</v>
      </c>
    </row>
    <row r="576" spans="1:9" hidden="1" x14ac:dyDescent="0.25">
      <c r="A576" s="102" t="s">
        <v>1466</v>
      </c>
      <c r="B576" s="103" t="s">
        <v>3508</v>
      </c>
      <c r="C576" s="104" t="s">
        <v>32</v>
      </c>
      <c r="D576" s="104">
        <v>0</v>
      </c>
      <c r="E576" s="158">
        <f ca="1">OFFSET(INDEX(Composições!A:J,MATCH(Orçamentária!A576,Composições!A:A,0),10),2,0)</f>
        <v>0.47025</v>
      </c>
      <c r="F576" s="159">
        <f t="shared" ca="1" si="24"/>
        <v>0</v>
      </c>
      <c r="G576" s="160" t="e">
        <f>IF(A576&lt;&gt;"",IF(AND(#REF!="Padrão",$H$4=#REF!),BDI!$B$17,IF(AND(#REF!="Padrão",$H$4=#REF!),BDI!$C$17,IF(AND(#REF!="Diferenciado",$H$4=#REF!),BDI!$G$17,IF(AND(#REF!="Diferenciado",$H$4=#REF!),BDI!$H$17,IF(#REF!="ZERO",0))))),"")</f>
        <v>#REF!</v>
      </c>
      <c r="H576" s="161" t="e">
        <f t="shared" ca="1" si="25"/>
        <v>#REF!</v>
      </c>
      <c r="I576" s="159" t="e">
        <f t="shared" ca="1" si="26"/>
        <v>#REF!</v>
      </c>
    </row>
    <row r="577" spans="1:9" hidden="1" x14ac:dyDescent="0.25">
      <c r="A577" s="102" t="s">
        <v>1468</v>
      </c>
      <c r="B577" s="103" t="s">
        <v>3509</v>
      </c>
      <c r="C577" s="104" t="s">
        <v>32</v>
      </c>
      <c r="D577" s="104">
        <v>0</v>
      </c>
      <c r="E577" s="158">
        <f ca="1">OFFSET(INDEX(Composições!A:J,MATCH(Orçamentária!A577,Composições!A:A,0),10),2,0)</f>
        <v>0.29449999999999998</v>
      </c>
      <c r="F577" s="159">
        <f t="shared" ca="1" si="24"/>
        <v>0</v>
      </c>
      <c r="G577" s="160" t="e">
        <f>IF(A577&lt;&gt;"",IF(AND(#REF!="Padrão",$H$4=#REF!),BDI!$B$17,IF(AND(#REF!="Padrão",$H$4=#REF!),BDI!$C$17,IF(AND(#REF!="Diferenciado",$H$4=#REF!),BDI!$G$17,IF(AND(#REF!="Diferenciado",$H$4=#REF!),BDI!$H$17,IF(#REF!="ZERO",0))))),"")</f>
        <v>#REF!</v>
      </c>
      <c r="H577" s="161" t="e">
        <f t="shared" ca="1" si="25"/>
        <v>#REF!</v>
      </c>
      <c r="I577" s="159" t="e">
        <f t="shared" ca="1" si="26"/>
        <v>#REF!</v>
      </c>
    </row>
    <row r="578" spans="1:9" hidden="1" x14ac:dyDescent="0.25">
      <c r="A578" s="102" t="s">
        <v>1470</v>
      </c>
      <c r="B578" s="103" t="s">
        <v>3510</v>
      </c>
      <c r="C578" s="104" t="s">
        <v>32</v>
      </c>
      <c r="D578" s="104">
        <v>0</v>
      </c>
      <c r="E578" s="158">
        <f ca="1">OFFSET(INDEX(Composições!A:J,MATCH(Orçamentária!A578,Composições!A:A,0),10),2,0)</f>
        <v>1.52</v>
      </c>
      <c r="F578" s="159">
        <f t="shared" ca="1" si="24"/>
        <v>0</v>
      </c>
      <c r="G578" s="160" t="e">
        <f>IF(A578&lt;&gt;"",IF(AND(#REF!="Padrão",$H$4=#REF!),BDI!$B$17,IF(AND(#REF!="Padrão",$H$4=#REF!),BDI!$C$17,IF(AND(#REF!="Diferenciado",$H$4=#REF!),BDI!$G$17,IF(AND(#REF!="Diferenciado",$H$4=#REF!),BDI!$H$17,IF(#REF!="ZERO",0))))),"")</f>
        <v>#REF!</v>
      </c>
      <c r="H578" s="161" t="e">
        <f t="shared" ca="1" si="25"/>
        <v>#REF!</v>
      </c>
      <c r="I578" s="159" t="e">
        <f t="shared" ca="1" si="26"/>
        <v>#REF!</v>
      </c>
    </row>
    <row r="579" spans="1:9" hidden="1" x14ac:dyDescent="0.25">
      <c r="A579" s="102" t="s">
        <v>1473</v>
      </c>
      <c r="B579" s="103" t="s">
        <v>3511</v>
      </c>
      <c r="C579" s="104" t="s">
        <v>32</v>
      </c>
      <c r="D579" s="104">
        <v>0</v>
      </c>
      <c r="E579" s="158">
        <f ca="1">OFFSET(INDEX(Composições!A:J,MATCH(Orçamentária!A579,Composições!A:A,0),10),2,0)</f>
        <v>2.4224999999999999</v>
      </c>
      <c r="F579" s="159">
        <f t="shared" ca="1" si="24"/>
        <v>0</v>
      </c>
      <c r="G579" s="160" t="e">
        <f>IF(A579&lt;&gt;"",IF(AND(#REF!="Padrão",$H$4=#REF!),BDI!$B$17,IF(AND(#REF!="Padrão",$H$4=#REF!),BDI!$C$17,IF(AND(#REF!="Diferenciado",$H$4=#REF!),BDI!$G$17,IF(AND(#REF!="Diferenciado",$H$4=#REF!),BDI!$H$17,IF(#REF!="ZERO",0))))),"")</f>
        <v>#REF!</v>
      </c>
      <c r="H579" s="161" t="e">
        <f t="shared" ca="1" si="25"/>
        <v>#REF!</v>
      </c>
      <c r="I579" s="159" t="e">
        <f t="shared" ca="1" si="26"/>
        <v>#REF!</v>
      </c>
    </row>
    <row r="580" spans="1:9" hidden="1" x14ac:dyDescent="0.25">
      <c r="A580" s="102" t="s">
        <v>1474</v>
      </c>
      <c r="B580" s="103" t="s">
        <v>3512</v>
      </c>
      <c r="C580" s="104" t="s">
        <v>184</v>
      </c>
      <c r="D580" s="104">
        <v>0</v>
      </c>
      <c r="E580" s="158">
        <f ca="1">OFFSET(INDEX(Composições!A:J,MATCH(Orçamentária!A580,Composições!A:A,0),10),2,0)</f>
        <v>0.29449999999999998</v>
      </c>
      <c r="F580" s="159">
        <f t="shared" ca="1" si="24"/>
        <v>0</v>
      </c>
      <c r="G580" s="160" t="e">
        <f>IF(A580&lt;&gt;"",IF(AND(#REF!="Padrão",$H$4=#REF!),BDI!$B$17,IF(AND(#REF!="Padrão",$H$4=#REF!),BDI!$C$17,IF(AND(#REF!="Diferenciado",$H$4=#REF!),BDI!$G$17,IF(AND(#REF!="Diferenciado",$H$4=#REF!),BDI!$H$17,IF(#REF!="ZERO",0))))),"")</f>
        <v>#REF!</v>
      </c>
      <c r="H580" s="161" t="e">
        <f t="shared" ca="1" si="25"/>
        <v>#REF!</v>
      </c>
      <c r="I580" s="159" t="e">
        <f t="shared" ca="1" si="26"/>
        <v>#REF!</v>
      </c>
    </row>
    <row r="581" spans="1:9" hidden="1" x14ac:dyDescent="0.25">
      <c r="A581" s="102" t="s">
        <v>1475</v>
      </c>
      <c r="B581" s="103" t="s">
        <v>3513</v>
      </c>
      <c r="C581" s="104" t="s">
        <v>184</v>
      </c>
      <c r="D581" s="104">
        <v>0</v>
      </c>
      <c r="E581" s="158">
        <f ca="1">OFFSET(INDEX(Composições!A:J,MATCH(Orçamentária!A581,Composições!A:A,0),10),2,0)</f>
        <v>1.3429674999999999</v>
      </c>
      <c r="F581" s="159">
        <f t="shared" ca="1" si="24"/>
        <v>0</v>
      </c>
      <c r="G581" s="160" t="e">
        <f>IF(A581&lt;&gt;"",IF(AND(#REF!="Padrão",$H$4=#REF!),BDI!$B$17,IF(AND(#REF!="Padrão",$H$4=#REF!),BDI!$C$17,IF(AND(#REF!="Diferenciado",$H$4=#REF!),BDI!$G$17,IF(AND(#REF!="Diferenciado",$H$4=#REF!),BDI!$H$17,IF(#REF!="ZERO",0))))),"")</f>
        <v>#REF!</v>
      </c>
      <c r="H581" s="161" t="e">
        <f t="shared" ca="1" si="25"/>
        <v>#REF!</v>
      </c>
      <c r="I581" s="159" t="e">
        <f t="shared" ca="1" si="26"/>
        <v>#REF!</v>
      </c>
    </row>
    <row r="582" spans="1:9" hidden="1" x14ac:dyDescent="0.25">
      <c r="A582" s="102" t="s">
        <v>1478</v>
      </c>
      <c r="B582" s="103" t="s">
        <v>3514</v>
      </c>
      <c r="C582" s="104" t="s">
        <v>184</v>
      </c>
      <c r="D582" s="104">
        <v>0</v>
      </c>
      <c r="E582" s="158">
        <f ca="1">OFFSET(INDEX(Composições!A:J,MATCH(Orçamentária!A582,Composições!A:A,0),10),2,0)</f>
        <v>2.17645</v>
      </c>
      <c r="F582" s="159">
        <f t="shared" ca="1" si="24"/>
        <v>0</v>
      </c>
      <c r="G582" s="160" t="e">
        <f>IF(A582&lt;&gt;"",IF(AND(#REF!="Padrão",$H$4=#REF!),BDI!$B$17,IF(AND(#REF!="Padrão",$H$4=#REF!),BDI!$C$17,IF(AND(#REF!="Diferenciado",$H$4=#REF!),BDI!$G$17,IF(AND(#REF!="Diferenciado",$H$4=#REF!),BDI!$H$17,IF(#REF!="ZERO",0))))),"")</f>
        <v>#REF!</v>
      </c>
      <c r="H582" s="161" t="e">
        <f t="shared" ca="1" si="25"/>
        <v>#REF!</v>
      </c>
      <c r="I582" s="159" t="e">
        <f t="shared" ca="1" si="26"/>
        <v>#REF!</v>
      </c>
    </row>
    <row r="583" spans="1:9" hidden="1" x14ac:dyDescent="0.25">
      <c r="A583" s="102" t="s">
        <v>1481</v>
      </c>
      <c r="B583" s="103" t="s">
        <v>3515</v>
      </c>
      <c r="C583" s="104" t="s">
        <v>184</v>
      </c>
      <c r="D583" s="104">
        <v>0</v>
      </c>
      <c r="E583" s="158">
        <f ca="1">OFFSET(INDEX(Composições!A:J,MATCH(Orçamentária!A583,Composições!A:A,0),10),2,0)</f>
        <v>3.2062404999999998</v>
      </c>
      <c r="F583" s="159">
        <f t="shared" ref="F583:F646" ca="1" si="27">IF(ISNUMBER(E583),D583*E583,"")</f>
        <v>0</v>
      </c>
      <c r="G583" s="160" t="e">
        <f>IF(A583&lt;&gt;"",IF(AND(#REF!="Padrão",$H$4=#REF!),BDI!$B$17,IF(AND(#REF!="Padrão",$H$4=#REF!),BDI!$C$17,IF(AND(#REF!="Diferenciado",$H$4=#REF!),BDI!$G$17,IF(AND(#REF!="Diferenciado",$H$4=#REF!),BDI!$H$17,IF(#REF!="ZERO",0))))),"")</f>
        <v>#REF!</v>
      </c>
      <c r="H583" s="161" t="e">
        <f t="shared" ref="H583:H646" ca="1" si="28">IF(ISNUMBER(E583),ROUND(E583*(1+G583),2),"")</f>
        <v>#REF!</v>
      </c>
      <c r="I583" s="159" t="e">
        <f t="shared" ref="I583:I646" ca="1" si="29">IF(ISNUMBER(E583),ROUND(H583*D583,2),"")</f>
        <v>#REF!</v>
      </c>
    </row>
    <row r="584" spans="1:9" hidden="1" x14ac:dyDescent="0.25">
      <c r="A584" s="102" t="s">
        <v>1483</v>
      </c>
      <c r="B584" s="103" t="s">
        <v>3516</v>
      </c>
      <c r="C584" s="104" t="s">
        <v>184</v>
      </c>
      <c r="D584" s="104">
        <v>0</v>
      </c>
      <c r="E584" s="158">
        <f ca="1">OFFSET(INDEX(Composições!A:J,MATCH(Orçamentária!A584,Composições!A:A,0),10),2,0)</f>
        <v>4.3363889999999996</v>
      </c>
      <c r="F584" s="159">
        <f t="shared" ca="1" si="27"/>
        <v>0</v>
      </c>
      <c r="G584" s="160" t="e">
        <f>IF(A584&lt;&gt;"",IF(AND(#REF!="Padrão",$H$4=#REF!),BDI!$B$17,IF(AND(#REF!="Padrão",$H$4=#REF!),BDI!$C$17,IF(AND(#REF!="Diferenciado",$H$4=#REF!),BDI!$G$17,IF(AND(#REF!="Diferenciado",$H$4=#REF!),BDI!$H$17,IF(#REF!="ZERO",0))))),"")</f>
        <v>#REF!</v>
      </c>
      <c r="H584" s="161" t="e">
        <f t="shared" ca="1" si="28"/>
        <v>#REF!</v>
      </c>
      <c r="I584" s="159" t="e">
        <f t="shared" ca="1" si="29"/>
        <v>#REF!</v>
      </c>
    </row>
    <row r="585" spans="1:9" hidden="1" x14ac:dyDescent="0.25">
      <c r="A585" s="102" t="s">
        <v>1486</v>
      </c>
      <c r="B585" s="103" t="s">
        <v>3517</v>
      </c>
      <c r="C585" s="104" t="s">
        <v>75</v>
      </c>
      <c r="D585" s="104">
        <v>0</v>
      </c>
      <c r="E585" s="158">
        <f ca="1">OFFSET(INDEX(Composições!A:J,MATCH(Orçamentária!A585,Composições!A:A,0),10),2,0)</f>
        <v>12.426</v>
      </c>
      <c r="F585" s="159">
        <f t="shared" ca="1" si="27"/>
        <v>0</v>
      </c>
      <c r="G585" s="160" t="e">
        <f>IF(A585&lt;&gt;"",IF(AND(#REF!="Padrão",$H$4=#REF!),BDI!$B$17,IF(AND(#REF!="Padrão",$H$4=#REF!),BDI!$C$17,IF(AND(#REF!="Diferenciado",$H$4=#REF!),BDI!$G$17,IF(AND(#REF!="Diferenciado",$H$4=#REF!),BDI!$H$17,IF(#REF!="ZERO",0))))),"")</f>
        <v>#REF!</v>
      </c>
      <c r="H585" s="161" t="e">
        <f t="shared" ca="1" si="28"/>
        <v>#REF!</v>
      </c>
      <c r="I585" s="159" t="e">
        <f t="shared" ca="1" si="29"/>
        <v>#REF!</v>
      </c>
    </row>
    <row r="586" spans="1:9" hidden="1" x14ac:dyDescent="0.25">
      <c r="A586" s="102" t="s">
        <v>1487</v>
      </c>
      <c r="B586" s="103" t="s">
        <v>3518</v>
      </c>
      <c r="C586" s="104" t="s">
        <v>75</v>
      </c>
      <c r="D586" s="104">
        <v>0</v>
      </c>
      <c r="E586" s="158">
        <f ca="1">OFFSET(INDEX(Composições!A:J,MATCH(Orçamentária!A586,Composições!A:A,0),10),2,0)</f>
        <v>28.718499999999999</v>
      </c>
      <c r="F586" s="159">
        <f t="shared" ca="1" si="27"/>
        <v>0</v>
      </c>
      <c r="G586" s="160" t="e">
        <f>IF(A586&lt;&gt;"",IF(AND(#REF!="Padrão",$H$4=#REF!),BDI!$B$17,IF(AND(#REF!="Padrão",$H$4=#REF!),BDI!$C$17,IF(AND(#REF!="Diferenciado",$H$4=#REF!),BDI!$G$17,IF(AND(#REF!="Diferenciado",$H$4=#REF!),BDI!$H$17,IF(#REF!="ZERO",0))))),"")</f>
        <v>#REF!</v>
      </c>
      <c r="H586" s="161" t="e">
        <f t="shared" ca="1" si="28"/>
        <v>#REF!</v>
      </c>
      <c r="I586" s="159" t="e">
        <f t="shared" ca="1" si="29"/>
        <v>#REF!</v>
      </c>
    </row>
    <row r="587" spans="1:9" hidden="1" x14ac:dyDescent="0.25">
      <c r="A587" s="102" t="s">
        <v>3519</v>
      </c>
      <c r="B587" s="103" t="s">
        <v>3520</v>
      </c>
      <c r="C587" s="104" t="s">
        <v>32</v>
      </c>
      <c r="D587" s="104">
        <v>0</v>
      </c>
      <c r="E587" s="158" t="s">
        <v>1079</v>
      </c>
      <c r="F587" s="159" t="str">
        <f t="shared" si="27"/>
        <v/>
      </c>
      <c r="G587" s="160" t="e">
        <f>IF(A587&lt;&gt;"",IF(AND(#REF!="Padrão",$H$4=#REF!),BDI!$B$17,IF(AND(#REF!="Padrão",$H$4=#REF!),BDI!$C$17,IF(AND(#REF!="Diferenciado",$H$4=#REF!),BDI!$G$17,IF(AND(#REF!="Diferenciado",$H$4=#REF!),BDI!$H$17,IF(#REF!="ZERO",0))))),"")</f>
        <v>#REF!</v>
      </c>
      <c r="H587" s="161" t="str">
        <f t="shared" si="28"/>
        <v/>
      </c>
      <c r="I587" s="159" t="str">
        <f t="shared" si="29"/>
        <v/>
      </c>
    </row>
    <row r="588" spans="1:9" hidden="1" x14ac:dyDescent="0.25">
      <c r="A588" s="102" t="s">
        <v>3521</v>
      </c>
      <c r="B588" s="103" t="s">
        <v>3522</v>
      </c>
      <c r="C588" s="104" t="s">
        <v>32</v>
      </c>
      <c r="D588" s="104">
        <v>0</v>
      </c>
      <c r="E588" s="158" t="s">
        <v>1079</v>
      </c>
      <c r="F588" s="159" t="str">
        <f t="shared" si="27"/>
        <v/>
      </c>
      <c r="G588" s="160" t="e">
        <f>IF(A588&lt;&gt;"",IF(AND(#REF!="Padrão",$H$4=#REF!),BDI!$B$17,IF(AND(#REF!="Padrão",$H$4=#REF!),BDI!$C$17,IF(AND(#REF!="Diferenciado",$H$4=#REF!),BDI!$G$17,IF(AND(#REF!="Diferenciado",$H$4=#REF!),BDI!$H$17,IF(#REF!="ZERO",0))))),"")</f>
        <v>#REF!</v>
      </c>
      <c r="H588" s="161" t="str">
        <f t="shared" si="28"/>
        <v/>
      </c>
      <c r="I588" s="159" t="str">
        <f t="shared" si="29"/>
        <v/>
      </c>
    </row>
    <row r="589" spans="1:9" hidden="1" x14ac:dyDescent="0.25">
      <c r="A589" s="102" t="s">
        <v>3523</v>
      </c>
      <c r="B589" s="103" t="s">
        <v>3524</v>
      </c>
      <c r="C589" s="104" t="s">
        <v>184</v>
      </c>
      <c r="D589" s="104">
        <v>0</v>
      </c>
      <c r="E589" s="158" t="s">
        <v>1079</v>
      </c>
      <c r="F589" s="159" t="str">
        <f t="shared" si="27"/>
        <v/>
      </c>
      <c r="G589" s="160" t="e">
        <f>IF(A589&lt;&gt;"",IF(AND(#REF!="Padrão",$H$4=#REF!),BDI!$B$17,IF(AND(#REF!="Padrão",$H$4=#REF!),BDI!$C$17,IF(AND(#REF!="Diferenciado",$H$4=#REF!),BDI!$G$17,IF(AND(#REF!="Diferenciado",$H$4=#REF!),BDI!$H$17,IF(#REF!="ZERO",0))))),"")</f>
        <v>#REF!</v>
      </c>
      <c r="H589" s="161" t="str">
        <f t="shared" si="28"/>
        <v/>
      </c>
      <c r="I589" s="159" t="str">
        <f t="shared" si="29"/>
        <v/>
      </c>
    </row>
    <row r="590" spans="1:9" hidden="1" x14ac:dyDescent="0.25">
      <c r="A590" s="102" t="s">
        <v>3525</v>
      </c>
      <c r="B590" s="103" t="s">
        <v>3526</v>
      </c>
      <c r="C590" s="104" t="s">
        <v>184</v>
      </c>
      <c r="D590" s="104">
        <v>0</v>
      </c>
      <c r="E590" s="158" t="s">
        <v>1079</v>
      </c>
      <c r="F590" s="159" t="str">
        <f t="shared" si="27"/>
        <v/>
      </c>
      <c r="G590" s="160" t="e">
        <f>IF(A590&lt;&gt;"",IF(AND(#REF!="Padrão",$H$4=#REF!),BDI!$B$17,IF(AND(#REF!="Padrão",$H$4=#REF!),BDI!$C$17,IF(AND(#REF!="Diferenciado",$H$4=#REF!),BDI!$G$17,IF(AND(#REF!="Diferenciado",$H$4=#REF!),BDI!$H$17,IF(#REF!="ZERO",0))))),"")</f>
        <v>#REF!</v>
      </c>
      <c r="H590" s="161" t="str">
        <f t="shared" si="28"/>
        <v/>
      </c>
      <c r="I590" s="159" t="str">
        <f t="shared" si="29"/>
        <v/>
      </c>
    </row>
    <row r="591" spans="1:9" hidden="1" x14ac:dyDescent="0.25">
      <c r="A591" s="102" t="s">
        <v>3527</v>
      </c>
      <c r="B591" s="103" t="s">
        <v>3528</v>
      </c>
      <c r="C591" s="104" t="s">
        <v>75</v>
      </c>
      <c r="D591" s="104">
        <v>0</v>
      </c>
      <c r="E591" s="158" t="s">
        <v>1079</v>
      </c>
      <c r="F591" s="159" t="str">
        <f t="shared" si="27"/>
        <v/>
      </c>
      <c r="G591" s="160" t="e">
        <f>IF(A591&lt;&gt;"",IF(AND(#REF!="Padrão",$H$4=#REF!),BDI!$B$17,IF(AND(#REF!="Padrão",$H$4=#REF!),BDI!$C$17,IF(AND(#REF!="Diferenciado",$H$4=#REF!),BDI!$G$17,IF(AND(#REF!="Diferenciado",$H$4=#REF!),BDI!$H$17,IF(#REF!="ZERO",0))))),"")</f>
        <v>#REF!</v>
      </c>
      <c r="H591" s="161" t="str">
        <f t="shared" si="28"/>
        <v/>
      </c>
      <c r="I591" s="159" t="str">
        <f t="shared" si="29"/>
        <v/>
      </c>
    </row>
    <row r="592" spans="1:9" hidden="1" x14ac:dyDescent="0.25">
      <c r="A592" s="102" t="s">
        <v>3529</v>
      </c>
      <c r="B592" s="103" t="s">
        <v>3530</v>
      </c>
      <c r="C592" s="104" t="s">
        <v>208</v>
      </c>
      <c r="D592" s="104">
        <v>0</v>
      </c>
      <c r="E592" s="158" t="s">
        <v>1079</v>
      </c>
      <c r="F592" s="159" t="str">
        <f t="shared" si="27"/>
        <v/>
      </c>
      <c r="G592" s="160" t="e">
        <f>IF(A592&lt;&gt;"",IF(AND(#REF!="Padrão",$H$4=#REF!),BDI!$B$17,IF(AND(#REF!="Padrão",$H$4=#REF!),BDI!$C$17,IF(AND(#REF!="Diferenciado",$H$4=#REF!),BDI!$G$17,IF(AND(#REF!="Diferenciado",$H$4=#REF!),BDI!$H$17,IF(#REF!="ZERO",0))))),"")</f>
        <v>#REF!</v>
      </c>
      <c r="H592" s="161" t="str">
        <f t="shared" si="28"/>
        <v/>
      </c>
      <c r="I592" s="159" t="str">
        <f t="shared" si="29"/>
        <v/>
      </c>
    </row>
    <row r="593" spans="1:9" hidden="1" x14ac:dyDescent="0.25">
      <c r="A593" s="102" t="s">
        <v>1490</v>
      </c>
      <c r="B593" s="103" t="s">
        <v>3531</v>
      </c>
      <c r="C593" s="104" t="s">
        <v>208</v>
      </c>
      <c r="D593" s="104">
        <v>0</v>
      </c>
      <c r="E593" s="158">
        <f ca="1">OFFSET(INDEX(Composições!A:J,MATCH(Orçamentária!A593,Composições!A:A,0),10),2,0)</f>
        <v>4.5314999999999994</v>
      </c>
      <c r="F593" s="159">
        <f t="shared" ca="1" si="27"/>
        <v>0</v>
      </c>
      <c r="G593" s="160" t="e">
        <f>IF(A593&lt;&gt;"",IF(AND(#REF!="Padrão",$H$4=#REF!),BDI!$B$17,IF(AND(#REF!="Padrão",$H$4=#REF!),BDI!$C$17,IF(AND(#REF!="Diferenciado",$H$4=#REF!),BDI!$G$17,IF(AND(#REF!="Diferenciado",$H$4=#REF!),BDI!$H$17,IF(#REF!="ZERO",0))))),"")</f>
        <v>#REF!</v>
      </c>
      <c r="H593" s="161" t="e">
        <f t="shared" ca="1" si="28"/>
        <v>#REF!</v>
      </c>
      <c r="I593" s="159" t="e">
        <f t="shared" ca="1" si="29"/>
        <v>#REF!</v>
      </c>
    </row>
    <row r="594" spans="1:9" hidden="1" x14ac:dyDescent="0.25">
      <c r="A594" s="102" t="s">
        <v>3532</v>
      </c>
      <c r="B594" s="103" t="s">
        <v>3533</v>
      </c>
      <c r="C594" s="104" t="s">
        <v>208</v>
      </c>
      <c r="D594" s="104">
        <v>0</v>
      </c>
      <c r="E594" s="158" t="s">
        <v>1079</v>
      </c>
      <c r="F594" s="159" t="str">
        <f t="shared" si="27"/>
        <v/>
      </c>
      <c r="G594" s="160" t="e">
        <f>IF(A594&lt;&gt;"",IF(AND(#REF!="Padrão",$H$4=#REF!),BDI!$B$17,IF(AND(#REF!="Padrão",$H$4=#REF!),BDI!$C$17,IF(AND(#REF!="Diferenciado",$H$4=#REF!),BDI!$G$17,IF(AND(#REF!="Diferenciado",$H$4=#REF!),BDI!$H$17,IF(#REF!="ZERO",0))))),"")</f>
        <v>#REF!</v>
      </c>
      <c r="H594" s="161" t="str">
        <f t="shared" si="28"/>
        <v/>
      </c>
      <c r="I594" s="159" t="str">
        <f t="shared" si="29"/>
        <v/>
      </c>
    </row>
    <row r="595" spans="1:9" hidden="1" x14ac:dyDescent="0.25">
      <c r="A595" s="102" t="s">
        <v>3534</v>
      </c>
      <c r="B595" s="103" t="s">
        <v>3535</v>
      </c>
      <c r="C595" s="104" t="s">
        <v>184</v>
      </c>
      <c r="D595" s="104">
        <v>0</v>
      </c>
      <c r="E595" s="158" t="s">
        <v>1079</v>
      </c>
      <c r="F595" s="159" t="str">
        <f t="shared" si="27"/>
        <v/>
      </c>
      <c r="G595" s="160" t="e">
        <f>IF(A595&lt;&gt;"",IF(AND(#REF!="Padrão",$H$4=#REF!),BDI!$B$17,IF(AND(#REF!="Padrão",$H$4=#REF!),BDI!$C$17,IF(AND(#REF!="Diferenciado",$H$4=#REF!),BDI!$G$17,IF(AND(#REF!="Diferenciado",$H$4=#REF!),BDI!$H$17,IF(#REF!="ZERO",0))))),"")</f>
        <v>#REF!</v>
      </c>
      <c r="H595" s="161" t="str">
        <f t="shared" si="28"/>
        <v/>
      </c>
      <c r="I595" s="159" t="str">
        <f t="shared" si="29"/>
        <v/>
      </c>
    </row>
    <row r="596" spans="1:9" hidden="1" x14ac:dyDescent="0.25">
      <c r="A596" s="102" t="s">
        <v>3536</v>
      </c>
      <c r="B596" s="103" t="s">
        <v>3537</v>
      </c>
      <c r="C596" s="104" t="s">
        <v>184</v>
      </c>
      <c r="D596" s="104">
        <v>0</v>
      </c>
      <c r="E596" s="158" t="s">
        <v>1079</v>
      </c>
      <c r="F596" s="159" t="str">
        <f t="shared" si="27"/>
        <v/>
      </c>
      <c r="G596" s="160" t="e">
        <f>IF(A596&lt;&gt;"",IF(AND(#REF!="Padrão",$H$4=#REF!),BDI!$B$17,IF(AND(#REF!="Padrão",$H$4=#REF!),BDI!$C$17,IF(AND(#REF!="Diferenciado",$H$4=#REF!),BDI!$G$17,IF(AND(#REF!="Diferenciado",$H$4=#REF!),BDI!$H$17,IF(#REF!="ZERO",0))))),"")</f>
        <v>#REF!</v>
      </c>
      <c r="H596" s="161" t="str">
        <f t="shared" si="28"/>
        <v/>
      </c>
      <c r="I596" s="159" t="str">
        <f t="shared" si="29"/>
        <v/>
      </c>
    </row>
    <row r="597" spans="1:9" hidden="1" x14ac:dyDescent="0.25">
      <c r="A597" s="102" t="s">
        <v>3538</v>
      </c>
      <c r="B597" s="103" t="s">
        <v>3539</v>
      </c>
      <c r="C597" s="104" t="s">
        <v>189</v>
      </c>
      <c r="D597" s="104">
        <v>0</v>
      </c>
      <c r="E597" s="158" t="s">
        <v>1079</v>
      </c>
      <c r="F597" s="159" t="str">
        <f t="shared" si="27"/>
        <v/>
      </c>
      <c r="G597" s="160" t="e">
        <f>IF(A597&lt;&gt;"",IF(AND(#REF!="Padrão",$H$4=#REF!),BDI!$B$17,IF(AND(#REF!="Padrão",$H$4=#REF!),BDI!$C$17,IF(AND(#REF!="Diferenciado",$H$4=#REF!),BDI!$G$17,IF(AND(#REF!="Diferenciado",$H$4=#REF!),BDI!$H$17,IF(#REF!="ZERO",0))))),"")</f>
        <v>#REF!</v>
      </c>
      <c r="H597" s="161" t="str">
        <f t="shared" si="28"/>
        <v/>
      </c>
      <c r="I597" s="159" t="str">
        <f t="shared" si="29"/>
        <v/>
      </c>
    </row>
    <row r="598" spans="1:9" hidden="1" x14ac:dyDescent="0.25">
      <c r="A598" s="102" t="s">
        <v>3540</v>
      </c>
      <c r="B598" s="103" t="s">
        <v>3541</v>
      </c>
      <c r="C598" s="104" t="s">
        <v>32</v>
      </c>
      <c r="D598" s="104">
        <v>0</v>
      </c>
      <c r="E598" s="158" t="s">
        <v>1079</v>
      </c>
      <c r="F598" s="159" t="str">
        <f t="shared" si="27"/>
        <v/>
      </c>
      <c r="G598" s="160" t="e">
        <f>IF(A598&lt;&gt;"",IF(AND(#REF!="Padrão",$H$4=#REF!),BDI!$B$17,IF(AND(#REF!="Padrão",$H$4=#REF!),BDI!$C$17,IF(AND(#REF!="Diferenciado",$H$4=#REF!),BDI!$G$17,IF(AND(#REF!="Diferenciado",$H$4=#REF!),BDI!$H$17,IF(#REF!="ZERO",0))))),"")</f>
        <v>#REF!</v>
      </c>
      <c r="H598" s="161" t="str">
        <f t="shared" si="28"/>
        <v/>
      </c>
      <c r="I598" s="159" t="str">
        <f t="shared" si="29"/>
        <v/>
      </c>
    </row>
    <row r="599" spans="1:9" hidden="1" x14ac:dyDescent="0.25">
      <c r="A599" s="102" t="s">
        <v>3542</v>
      </c>
      <c r="B599" s="103" t="s">
        <v>3543</v>
      </c>
      <c r="C599" s="104" t="s">
        <v>32</v>
      </c>
      <c r="D599" s="104">
        <v>0</v>
      </c>
      <c r="E599" s="158" t="s">
        <v>1079</v>
      </c>
      <c r="F599" s="159" t="str">
        <f t="shared" si="27"/>
        <v/>
      </c>
      <c r="G599" s="160" t="e">
        <f>IF(A599&lt;&gt;"",IF(AND(#REF!="Padrão",$H$4=#REF!),BDI!$B$17,IF(AND(#REF!="Padrão",$H$4=#REF!),BDI!$C$17,IF(AND(#REF!="Diferenciado",$H$4=#REF!),BDI!$G$17,IF(AND(#REF!="Diferenciado",$H$4=#REF!),BDI!$H$17,IF(#REF!="ZERO",0))))),"")</f>
        <v>#REF!</v>
      </c>
      <c r="H599" s="161" t="str">
        <f t="shared" si="28"/>
        <v/>
      </c>
      <c r="I599" s="159" t="str">
        <f t="shared" si="29"/>
        <v/>
      </c>
    </row>
    <row r="600" spans="1:9" hidden="1" x14ac:dyDescent="0.25">
      <c r="A600" s="102" t="s">
        <v>3544</v>
      </c>
      <c r="B600" s="103" t="s">
        <v>3545</v>
      </c>
      <c r="C600" s="104" t="s">
        <v>32</v>
      </c>
      <c r="D600" s="104">
        <v>0</v>
      </c>
      <c r="E600" s="158" t="s">
        <v>1079</v>
      </c>
      <c r="F600" s="159" t="str">
        <f t="shared" si="27"/>
        <v/>
      </c>
      <c r="G600" s="160" t="e">
        <f>IF(A600&lt;&gt;"",IF(AND(#REF!="Padrão",$H$4=#REF!),BDI!$B$17,IF(AND(#REF!="Padrão",$H$4=#REF!),BDI!$C$17,IF(AND(#REF!="Diferenciado",$H$4=#REF!),BDI!$G$17,IF(AND(#REF!="Diferenciado",$H$4=#REF!),BDI!$H$17,IF(#REF!="ZERO",0))))),"")</f>
        <v>#REF!</v>
      </c>
      <c r="H600" s="161" t="str">
        <f t="shared" si="28"/>
        <v/>
      </c>
      <c r="I600" s="159" t="str">
        <f t="shared" si="29"/>
        <v/>
      </c>
    </row>
    <row r="601" spans="1:9" hidden="1" x14ac:dyDescent="0.25">
      <c r="A601" s="102" t="s">
        <v>3546</v>
      </c>
      <c r="B601" s="103" t="s">
        <v>3547</v>
      </c>
      <c r="C601" s="104" t="s">
        <v>32</v>
      </c>
      <c r="D601" s="104">
        <v>0</v>
      </c>
      <c r="E601" s="158" t="s">
        <v>1079</v>
      </c>
      <c r="F601" s="159" t="str">
        <f t="shared" si="27"/>
        <v/>
      </c>
      <c r="G601" s="160" t="e">
        <f>IF(A601&lt;&gt;"",IF(AND(#REF!="Padrão",$H$4=#REF!),BDI!$B$17,IF(AND(#REF!="Padrão",$H$4=#REF!),BDI!$C$17,IF(AND(#REF!="Diferenciado",$H$4=#REF!),BDI!$G$17,IF(AND(#REF!="Diferenciado",$H$4=#REF!),BDI!$H$17,IF(#REF!="ZERO",0))))),"")</f>
        <v>#REF!</v>
      </c>
      <c r="H601" s="161" t="str">
        <f t="shared" si="28"/>
        <v/>
      </c>
      <c r="I601" s="159" t="str">
        <f t="shared" si="29"/>
        <v/>
      </c>
    </row>
    <row r="602" spans="1:9" hidden="1" x14ac:dyDescent="0.25">
      <c r="A602" s="102" t="s">
        <v>3548</v>
      </c>
      <c r="B602" s="103" t="s">
        <v>3549</v>
      </c>
      <c r="C602" s="104" t="s">
        <v>32</v>
      </c>
      <c r="D602" s="104">
        <v>0</v>
      </c>
      <c r="E602" s="158" t="s">
        <v>1079</v>
      </c>
      <c r="F602" s="159" t="str">
        <f t="shared" si="27"/>
        <v/>
      </c>
      <c r="G602" s="160" t="e">
        <f>IF(A602&lt;&gt;"",IF(AND(#REF!="Padrão",$H$4=#REF!),BDI!$B$17,IF(AND(#REF!="Padrão",$H$4=#REF!),BDI!$C$17,IF(AND(#REF!="Diferenciado",$H$4=#REF!),BDI!$G$17,IF(AND(#REF!="Diferenciado",$H$4=#REF!),BDI!$H$17,IF(#REF!="ZERO",0))))),"")</f>
        <v>#REF!</v>
      </c>
      <c r="H602" s="161" t="str">
        <f t="shared" si="28"/>
        <v/>
      </c>
      <c r="I602" s="159" t="str">
        <f t="shared" si="29"/>
        <v/>
      </c>
    </row>
    <row r="603" spans="1:9" hidden="1" x14ac:dyDescent="0.25">
      <c r="A603" s="102" t="s">
        <v>3550</v>
      </c>
      <c r="B603" s="103" t="s">
        <v>3551</v>
      </c>
      <c r="C603" s="104" t="s">
        <v>32</v>
      </c>
      <c r="D603" s="104">
        <v>0</v>
      </c>
      <c r="E603" s="158" t="s">
        <v>1079</v>
      </c>
      <c r="F603" s="159" t="str">
        <f t="shared" si="27"/>
        <v/>
      </c>
      <c r="G603" s="160" t="e">
        <f>IF(A603&lt;&gt;"",IF(AND(#REF!="Padrão",$H$4=#REF!),BDI!$B$17,IF(AND(#REF!="Padrão",$H$4=#REF!),BDI!$C$17,IF(AND(#REF!="Diferenciado",$H$4=#REF!),BDI!$G$17,IF(AND(#REF!="Diferenciado",$H$4=#REF!),BDI!$H$17,IF(#REF!="ZERO",0))))),"")</f>
        <v>#REF!</v>
      </c>
      <c r="H603" s="161" t="str">
        <f t="shared" si="28"/>
        <v/>
      </c>
      <c r="I603" s="159" t="str">
        <f t="shared" si="29"/>
        <v/>
      </c>
    </row>
    <row r="604" spans="1:9" hidden="1" x14ac:dyDescent="0.25">
      <c r="A604" s="102" t="s">
        <v>3552</v>
      </c>
      <c r="B604" s="103" t="s">
        <v>3553</v>
      </c>
      <c r="C604" s="104" t="s">
        <v>32</v>
      </c>
      <c r="D604" s="104">
        <v>0</v>
      </c>
      <c r="E604" s="158" t="s">
        <v>1079</v>
      </c>
      <c r="F604" s="159" t="str">
        <f t="shared" si="27"/>
        <v/>
      </c>
      <c r="G604" s="160" t="e">
        <f>IF(A604&lt;&gt;"",IF(AND(#REF!="Padrão",$H$4=#REF!),BDI!$B$17,IF(AND(#REF!="Padrão",$H$4=#REF!),BDI!$C$17,IF(AND(#REF!="Diferenciado",$H$4=#REF!),BDI!$G$17,IF(AND(#REF!="Diferenciado",$H$4=#REF!),BDI!$H$17,IF(#REF!="ZERO",0))))),"")</f>
        <v>#REF!</v>
      </c>
      <c r="H604" s="161" t="str">
        <f t="shared" si="28"/>
        <v/>
      </c>
      <c r="I604" s="159" t="str">
        <f t="shared" si="29"/>
        <v/>
      </c>
    </row>
    <row r="605" spans="1:9" hidden="1" x14ac:dyDescent="0.25">
      <c r="A605" s="102" t="s">
        <v>3554</v>
      </c>
      <c r="B605" s="103" t="s">
        <v>3555</v>
      </c>
      <c r="C605" s="104" t="s">
        <v>32</v>
      </c>
      <c r="D605" s="104">
        <v>0</v>
      </c>
      <c r="E605" s="158" t="s">
        <v>1079</v>
      </c>
      <c r="F605" s="159" t="str">
        <f t="shared" si="27"/>
        <v/>
      </c>
      <c r="G605" s="160" t="e">
        <f>IF(A605&lt;&gt;"",IF(AND(#REF!="Padrão",$H$4=#REF!),BDI!$B$17,IF(AND(#REF!="Padrão",$H$4=#REF!),BDI!$C$17,IF(AND(#REF!="Diferenciado",$H$4=#REF!),BDI!$G$17,IF(AND(#REF!="Diferenciado",$H$4=#REF!),BDI!$H$17,IF(#REF!="ZERO",0))))),"")</f>
        <v>#REF!</v>
      </c>
      <c r="H605" s="161" t="str">
        <f t="shared" si="28"/>
        <v/>
      </c>
      <c r="I605" s="159" t="str">
        <f t="shared" si="29"/>
        <v/>
      </c>
    </row>
    <row r="606" spans="1:9" hidden="1" x14ac:dyDescent="0.25">
      <c r="A606" s="102" t="s">
        <v>3556</v>
      </c>
      <c r="B606" s="103" t="s">
        <v>3557</v>
      </c>
      <c r="C606" s="104" t="s">
        <v>32</v>
      </c>
      <c r="D606" s="104">
        <v>0</v>
      </c>
      <c r="E606" s="158" t="s">
        <v>1079</v>
      </c>
      <c r="F606" s="159" t="str">
        <f t="shared" si="27"/>
        <v/>
      </c>
      <c r="G606" s="160" t="e">
        <f>IF(A606&lt;&gt;"",IF(AND(#REF!="Padrão",$H$4=#REF!),BDI!$B$17,IF(AND(#REF!="Padrão",$H$4=#REF!),BDI!$C$17,IF(AND(#REF!="Diferenciado",$H$4=#REF!),BDI!$G$17,IF(AND(#REF!="Diferenciado",$H$4=#REF!),BDI!$H$17,IF(#REF!="ZERO",0))))),"")</f>
        <v>#REF!</v>
      </c>
      <c r="H606" s="161" t="str">
        <f t="shared" si="28"/>
        <v/>
      </c>
      <c r="I606" s="159" t="str">
        <f t="shared" si="29"/>
        <v/>
      </c>
    </row>
    <row r="607" spans="1:9" hidden="1" x14ac:dyDescent="0.25">
      <c r="A607" s="102" t="s">
        <v>3558</v>
      </c>
      <c r="B607" s="103" t="s">
        <v>3559</v>
      </c>
      <c r="C607" s="104" t="s">
        <v>32</v>
      </c>
      <c r="D607" s="104">
        <v>0</v>
      </c>
      <c r="E607" s="158" t="s">
        <v>1079</v>
      </c>
      <c r="F607" s="159" t="str">
        <f t="shared" si="27"/>
        <v/>
      </c>
      <c r="G607" s="160" t="e">
        <f>IF(A607&lt;&gt;"",IF(AND(#REF!="Padrão",$H$4=#REF!),BDI!$B$17,IF(AND(#REF!="Padrão",$H$4=#REF!),BDI!$C$17,IF(AND(#REF!="Diferenciado",$H$4=#REF!),BDI!$G$17,IF(AND(#REF!="Diferenciado",$H$4=#REF!),BDI!$H$17,IF(#REF!="ZERO",0))))),"")</f>
        <v>#REF!</v>
      </c>
      <c r="H607" s="161" t="str">
        <f t="shared" si="28"/>
        <v/>
      </c>
      <c r="I607" s="159" t="str">
        <f t="shared" si="29"/>
        <v/>
      </c>
    </row>
    <row r="608" spans="1:9" hidden="1" x14ac:dyDescent="0.25">
      <c r="A608" s="102" t="s">
        <v>3560</v>
      </c>
      <c r="B608" s="103" t="s">
        <v>3561</v>
      </c>
      <c r="C608" s="104" t="s">
        <v>32</v>
      </c>
      <c r="D608" s="104">
        <v>0</v>
      </c>
      <c r="E608" s="158" t="s">
        <v>1079</v>
      </c>
      <c r="F608" s="159" t="str">
        <f t="shared" si="27"/>
        <v/>
      </c>
      <c r="G608" s="160" t="e">
        <f>IF(A608&lt;&gt;"",IF(AND(#REF!="Padrão",$H$4=#REF!),BDI!$B$17,IF(AND(#REF!="Padrão",$H$4=#REF!),BDI!$C$17,IF(AND(#REF!="Diferenciado",$H$4=#REF!),BDI!$G$17,IF(AND(#REF!="Diferenciado",$H$4=#REF!),BDI!$H$17,IF(#REF!="ZERO",0))))),"")</f>
        <v>#REF!</v>
      </c>
      <c r="H608" s="161" t="str">
        <f t="shared" si="28"/>
        <v/>
      </c>
      <c r="I608" s="159" t="str">
        <f t="shared" si="29"/>
        <v/>
      </c>
    </row>
    <row r="609" spans="1:9" hidden="1" x14ac:dyDescent="0.25">
      <c r="A609" s="102" t="s">
        <v>3562</v>
      </c>
      <c r="B609" s="103" t="s">
        <v>3563</v>
      </c>
      <c r="C609" s="104" t="s">
        <v>32</v>
      </c>
      <c r="D609" s="104">
        <v>0</v>
      </c>
      <c r="E609" s="158" t="s">
        <v>1079</v>
      </c>
      <c r="F609" s="159" t="str">
        <f t="shared" si="27"/>
        <v/>
      </c>
      <c r="G609" s="160" t="e">
        <f>IF(A609&lt;&gt;"",IF(AND(#REF!="Padrão",$H$4=#REF!),BDI!$B$17,IF(AND(#REF!="Padrão",$H$4=#REF!),BDI!$C$17,IF(AND(#REF!="Diferenciado",$H$4=#REF!),BDI!$G$17,IF(AND(#REF!="Diferenciado",$H$4=#REF!),BDI!$H$17,IF(#REF!="ZERO",0))))),"")</f>
        <v>#REF!</v>
      </c>
      <c r="H609" s="161" t="str">
        <f t="shared" si="28"/>
        <v/>
      </c>
      <c r="I609" s="159" t="str">
        <f t="shared" si="29"/>
        <v/>
      </c>
    </row>
    <row r="610" spans="1:9" hidden="1" x14ac:dyDescent="0.25">
      <c r="A610" s="102" t="s">
        <v>3564</v>
      </c>
      <c r="B610" s="103" t="s">
        <v>3565</v>
      </c>
      <c r="C610" s="104" t="s">
        <v>32</v>
      </c>
      <c r="D610" s="104">
        <v>0</v>
      </c>
      <c r="E610" s="158" t="s">
        <v>1079</v>
      </c>
      <c r="F610" s="159" t="str">
        <f t="shared" si="27"/>
        <v/>
      </c>
      <c r="G610" s="160" t="e">
        <f>IF(A610&lt;&gt;"",IF(AND(#REF!="Padrão",$H$4=#REF!),BDI!$B$17,IF(AND(#REF!="Padrão",$H$4=#REF!),BDI!$C$17,IF(AND(#REF!="Diferenciado",$H$4=#REF!),BDI!$G$17,IF(AND(#REF!="Diferenciado",$H$4=#REF!),BDI!$H$17,IF(#REF!="ZERO",0))))),"")</f>
        <v>#REF!</v>
      </c>
      <c r="H610" s="161" t="str">
        <f t="shared" si="28"/>
        <v/>
      </c>
      <c r="I610" s="159" t="str">
        <f t="shared" si="29"/>
        <v/>
      </c>
    </row>
    <row r="611" spans="1:9" hidden="1" x14ac:dyDescent="0.25">
      <c r="A611" s="102" t="s">
        <v>3566</v>
      </c>
      <c r="B611" s="103" t="s">
        <v>3567</v>
      </c>
      <c r="C611" s="104" t="s">
        <v>32</v>
      </c>
      <c r="D611" s="104">
        <v>0</v>
      </c>
      <c r="E611" s="158" t="s">
        <v>1079</v>
      </c>
      <c r="F611" s="159" t="str">
        <f t="shared" si="27"/>
        <v/>
      </c>
      <c r="G611" s="160" t="e">
        <f>IF(A611&lt;&gt;"",IF(AND(#REF!="Padrão",$H$4=#REF!),BDI!$B$17,IF(AND(#REF!="Padrão",$H$4=#REF!),BDI!$C$17,IF(AND(#REF!="Diferenciado",$H$4=#REF!),BDI!$G$17,IF(AND(#REF!="Diferenciado",$H$4=#REF!),BDI!$H$17,IF(#REF!="ZERO",0))))),"")</f>
        <v>#REF!</v>
      </c>
      <c r="H611" s="161" t="str">
        <f t="shared" si="28"/>
        <v/>
      </c>
      <c r="I611" s="159" t="str">
        <f t="shared" si="29"/>
        <v/>
      </c>
    </row>
    <row r="612" spans="1:9" hidden="1" x14ac:dyDescent="0.25">
      <c r="A612" s="102" t="s">
        <v>3568</v>
      </c>
      <c r="B612" s="103" t="s">
        <v>3569</v>
      </c>
      <c r="C612" s="104" t="s">
        <v>32</v>
      </c>
      <c r="D612" s="104">
        <v>0</v>
      </c>
      <c r="E612" s="158" t="s">
        <v>1079</v>
      </c>
      <c r="F612" s="159" t="str">
        <f t="shared" si="27"/>
        <v/>
      </c>
      <c r="G612" s="160" t="e">
        <f>IF(A612&lt;&gt;"",IF(AND(#REF!="Padrão",$H$4=#REF!),BDI!$B$17,IF(AND(#REF!="Padrão",$H$4=#REF!),BDI!$C$17,IF(AND(#REF!="Diferenciado",$H$4=#REF!),BDI!$G$17,IF(AND(#REF!="Diferenciado",$H$4=#REF!),BDI!$H$17,IF(#REF!="ZERO",0))))),"")</f>
        <v>#REF!</v>
      </c>
      <c r="H612" s="161" t="str">
        <f t="shared" si="28"/>
        <v/>
      </c>
      <c r="I612" s="159" t="str">
        <f t="shared" si="29"/>
        <v/>
      </c>
    </row>
    <row r="613" spans="1:9" hidden="1" x14ac:dyDescent="0.25">
      <c r="A613" s="102" t="s">
        <v>3570</v>
      </c>
      <c r="B613" s="103" t="s">
        <v>3571</v>
      </c>
      <c r="C613" s="104" t="s">
        <v>32</v>
      </c>
      <c r="D613" s="104">
        <v>0</v>
      </c>
      <c r="E613" s="158" t="s">
        <v>1079</v>
      </c>
      <c r="F613" s="159" t="str">
        <f t="shared" si="27"/>
        <v/>
      </c>
      <c r="G613" s="160" t="e">
        <f>IF(A613&lt;&gt;"",IF(AND(#REF!="Padrão",$H$4=#REF!),BDI!$B$17,IF(AND(#REF!="Padrão",$H$4=#REF!),BDI!$C$17,IF(AND(#REF!="Diferenciado",$H$4=#REF!),BDI!$G$17,IF(AND(#REF!="Diferenciado",$H$4=#REF!),BDI!$H$17,IF(#REF!="ZERO",0))))),"")</f>
        <v>#REF!</v>
      </c>
      <c r="H613" s="161" t="str">
        <f t="shared" si="28"/>
        <v/>
      </c>
      <c r="I613" s="159" t="str">
        <f t="shared" si="29"/>
        <v/>
      </c>
    </row>
    <row r="614" spans="1:9" hidden="1" x14ac:dyDescent="0.25">
      <c r="A614" s="102" t="s">
        <v>3572</v>
      </c>
      <c r="B614" s="103" t="s">
        <v>3573</v>
      </c>
      <c r="C614" s="104" t="s">
        <v>32</v>
      </c>
      <c r="D614" s="104">
        <v>0</v>
      </c>
      <c r="E614" s="158" t="s">
        <v>1079</v>
      </c>
      <c r="F614" s="159" t="str">
        <f t="shared" si="27"/>
        <v/>
      </c>
      <c r="G614" s="160" t="e">
        <f>IF(A614&lt;&gt;"",IF(AND(#REF!="Padrão",$H$4=#REF!),BDI!$B$17,IF(AND(#REF!="Padrão",$H$4=#REF!),BDI!$C$17,IF(AND(#REF!="Diferenciado",$H$4=#REF!),BDI!$G$17,IF(AND(#REF!="Diferenciado",$H$4=#REF!),BDI!$H$17,IF(#REF!="ZERO",0))))),"")</f>
        <v>#REF!</v>
      </c>
      <c r="H614" s="161" t="str">
        <f t="shared" si="28"/>
        <v/>
      </c>
      <c r="I614" s="159" t="str">
        <f t="shared" si="29"/>
        <v/>
      </c>
    </row>
    <row r="615" spans="1:9" hidden="1" x14ac:dyDescent="0.25">
      <c r="A615" s="102" t="s">
        <v>3574</v>
      </c>
      <c r="B615" s="103" t="s">
        <v>3575</v>
      </c>
      <c r="C615" s="104" t="s">
        <v>32</v>
      </c>
      <c r="D615" s="104">
        <v>0</v>
      </c>
      <c r="E615" s="158" t="s">
        <v>1079</v>
      </c>
      <c r="F615" s="159" t="str">
        <f t="shared" si="27"/>
        <v/>
      </c>
      <c r="G615" s="160" t="e">
        <f>IF(A615&lt;&gt;"",IF(AND(#REF!="Padrão",$H$4=#REF!),BDI!$B$17,IF(AND(#REF!="Padrão",$H$4=#REF!),BDI!$C$17,IF(AND(#REF!="Diferenciado",$H$4=#REF!),BDI!$G$17,IF(AND(#REF!="Diferenciado",$H$4=#REF!),BDI!$H$17,IF(#REF!="ZERO",0))))),"")</f>
        <v>#REF!</v>
      </c>
      <c r="H615" s="161" t="str">
        <f t="shared" si="28"/>
        <v/>
      </c>
      <c r="I615" s="159" t="str">
        <f t="shared" si="29"/>
        <v/>
      </c>
    </row>
    <row r="616" spans="1:9" hidden="1" x14ac:dyDescent="0.25">
      <c r="A616" s="102" t="s">
        <v>3576</v>
      </c>
      <c r="B616" s="103" t="s">
        <v>3577</v>
      </c>
      <c r="C616" s="104" t="s">
        <v>32</v>
      </c>
      <c r="D616" s="104">
        <v>0</v>
      </c>
      <c r="E616" s="158" t="s">
        <v>1079</v>
      </c>
      <c r="F616" s="159" t="str">
        <f t="shared" si="27"/>
        <v/>
      </c>
      <c r="G616" s="160" t="e">
        <f>IF(A616&lt;&gt;"",IF(AND(#REF!="Padrão",$H$4=#REF!),BDI!$B$17,IF(AND(#REF!="Padrão",$H$4=#REF!),BDI!$C$17,IF(AND(#REF!="Diferenciado",$H$4=#REF!),BDI!$G$17,IF(AND(#REF!="Diferenciado",$H$4=#REF!),BDI!$H$17,IF(#REF!="ZERO",0))))),"")</f>
        <v>#REF!</v>
      </c>
      <c r="H616" s="161" t="str">
        <f t="shared" si="28"/>
        <v/>
      </c>
      <c r="I616" s="159" t="str">
        <f t="shared" si="29"/>
        <v/>
      </c>
    </row>
    <row r="617" spans="1:9" hidden="1" x14ac:dyDescent="0.25">
      <c r="A617" s="102" t="s">
        <v>3578</v>
      </c>
      <c r="B617" s="103" t="s">
        <v>3579</v>
      </c>
      <c r="C617" s="104" t="s">
        <v>32</v>
      </c>
      <c r="D617" s="104">
        <v>0</v>
      </c>
      <c r="E617" s="158" t="s">
        <v>1079</v>
      </c>
      <c r="F617" s="159" t="str">
        <f t="shared" si="27"/>
        <v/>
      </c>
      <c r="G617" s="160" t="e">
        <f>IF(A617&lt;&gt;"",IF(AND(#REF!="Padrão",$H$4=#REF!),BDI!$B$17,IF(AND(#REF!="Padrão",$H$4=#REF!),BDI!$C$17,IF(AND(#REF!="Diferenciado",$H$4=#REF!),BDI!$G$17,IF(AND(#REF!="Diferenciado",$H$4=#REF!),BDI!$H$17,IF(#REF!="ZERO",0))))),"")</f>
        <v>#REF!</v>
      </c>
      <c r="H617" s="161" t="str">
        <f t="shared" si="28"/>
        <v/>
      </c>
      <c r="I617" s="159" t="str">
        <f t="shared" si="29"/>
        <v/>
      </c>
    </row>
    <row r="618" spans="1:9" hidden="1" x14ac:dyDescent="0.25">
      <c r="A618" s="102" t="s">
        <v>3580</v>
      </c>
      <c r="B618" s="103" t="s">
        <v>3581</v>
      </c>
      <c r="C618" s="104" t="s">
        <v>32</v>
      </c>
      <c r="D618" s="104">
        <v>0</v>
      </c>
      <c r="E618" s="158" t="s">
        <v>1079</v>
      </c>
      <c r="F618" s="159" t="str">
        <f t="shared" si="27"/>
        <v/>
      </c>
      <c r="G618" s="160" t="e">
        <f>IF(A618&lt;&gt;"",IF(AND(#REF!="Padrão",$H$4=#REF!),BDI!$B$17,IF(AND(#REF!="Padrão",$H$4=#REF!),BDI!$C$17,IF(AND(#REF!="Diferenciado",$H$4=#REF!),BDI!$G$17,IF(AND(#REF!="Diferenciado",$H$4=#REF!),BDI!$H$17,IF(#REF!="ZERO",0))))),"")</f>
        <v>#REF!</v>
      </c>
      <c r="H618" s="161" t="str">
        <f t="shared" si="28"/>
        <v/>
      </c>
      <c r="I618" s="159" t="str">
        <f t="shared" si="29"/>
        <v/>
      </c>
    </row>
    <row r="619" spans="1:9" hidden="1" x14ac:dyDescent="0.25">
      <c r="A619" s="102" t="s">
        <v>3582</v>
      </c>
      <c r="B619" s="103" t="s">
        <v>3583</v>
      </c>
      <c r="C619" s="104" t="s">
        <v>32</v>
      </c>
      <c r="D619" s="104">
        <v>0</v>
      </c>
      <c r="E619" s="158" t="s">
        <v>1079</v>
      </c>
      <c r="F619" s="159" t="str">
        <f t="shared" si="27"/>
        <v/>
      </c>
      <c r="G619" s="160" t="e">
        <f>IF(A619&lt;&gt;"",IF(AND(#REF!="Padrão",$H$4=#REF!),BDI!$B$17,IF(AND(#REF!="Padrão",$H$4=#REF!),BDI!$C$17,IF(AND(#REF!="Diferenciado",$H$4=#REF!),BDI!$G$17,IF(AND(#REF!="Diferenciado",$H$4=#REF!),BDI!$H$17,IF(#REF!="ZERO",0))))),"")</f>
        <v>#REF!</v>
      </c>
      <c r="H619" s="161" t="str">
        <f t="shared" si="28"/>
        <v/>
      </c>
      <c r="I619" s="159" t="str">
        <f t="shared" si="29"/>
        <v/>
      </c>
    </row>
    <row r="620" spans="1:9" hidden="1" x14ac:dyDescent="0.25">
      <c r="A620" s="102" t="s">
        <v>3584</v>
      </c>
      <c r="B620" s="103" t="s">
        <v>3585</v>
      </c>
      <c r="C620" s="104" t="s">
        <v>32</v>
      </c>
      <c r="D620" s="104">
        <v>0</v>
      </c>
      <c r="E620" s="158" t="s">
        <v>1079</v>
      </c>
      <c r="F620" s="159" t="str">
        <f t="shared" si="27"/>
        <v/>
      </c>
      <c r="G620" s="160" t="e">
        <f>IF(A620&lt;&gt;"",IF(AND(#REF!="Padrão",$H$4=#REF!),BDI!$B$17,IF(AND(#REF!="Padrão",$H$4=#REF!),BDI!$C$17,IF(AND(#REF!="Diferenciado",$H$4=#REF!),BDI!$G$17,IF(AND(#REF!="Diferenciado",$H$4=#REF!),BDI!$H$17,IF(#REF!="ZERO",0))))),"")</f>
        <v>#REF!</v>
      </c>
      <c r="H620" s="161" t="str">
        <f t="shared" si="28"/>
        <v/>
      </c>
      <c r="I620" s="159" t="str">
        <f t="shared" si="29"/>
        <v/>
      </c>
    </row>
    <row r="621" spans="1:9" hidden="1" x14ac:dyDescent="0.25">
      <c r="A621" s="102" t="s">
        <v>3586</v>
      </c>
      <c r="B621" s="103" t="s">
        <v>3587</v>
      </c>
      <c r="C621" s="104" t="s">
        <v>32</v>
      </c>
      <c r="D621" s="104">
        <v>0</v>
      </c>
      <c r="E621" s="158" t="s">
        <v>1079</v>
      </c>
      <c r="F621" s="159" t="str">
        <f t="shared" si="27"/>
        <v/>
      </c>
      <c r="G621" s="160" t="e">
        <f>IF(A621&lt;&gt;"",IF(AND(#REF!="Padrão",$H$4=#REF!),BDI!$B$17,IF(AND(#REF!="Padrão",$H$4=#REF!),BDI!$C$17,IF(AND(#REF!="Diferenciado",$H$4=#REF!),BDI!$G$17,IF(AND(#REF!="Diferenciado",$H$4=#REF!),BDI!$H$17,IF(#REF!="ZERO",0))))),"")</f>
        <v>#REF!</v>
      </c>
      <c r="H621" s="161" t="str">
        <f t="shared" si="28"/>
        <v/>
      </c>
      <c r="I621" s="159" t="str">
        <f t="shared" si="29"/>
        <v/>
      </c>
    </row>
    <row r="622" spans="1:9" hidden="1" x14ac:dyDescent="0.25">
      <c r="A622" s="102" t="s">
        <v>3588</v>
      </c>
      <c r="B622" s="103" t="s">
        <v>3589</v>
      </c>
      <c r="C622" s="104" t="s">
        <v>32</v>
      </c>
      <c r="D622" s="104">
        <v>0</v>
      </c>
      <c r="E622" s="158" t="s">
        <v>1079</v>
      </c>
      <c r="F622" s="159" t="str">
        <f t="shared" si="27"/>
        <v/>
      </c>
      <c r="G622" s="160" t="e">
        <f>IF(A622&lt;&gt;"",IF(AND(#REF!="Padrão",$H$4=#REF!),BDI!$B$17,IF(AND(#REF!="Padrão",$H$4=#REF!),BDI!$C$17,IF(AND(#REF!="Diferenciado",$H$4=#REF!),BDI!$G$17,IF(AND(#REF!="Diferenciado",$H$4=#REF!),BDI!$H$17,IF(#REF!="ZERO",0))))),"")</f>
        <v>#REF!</v>
      </c>
      <c r="H622" s="161" t="str">
        <f t="shared" si="28"/>
        <v/>
      </c>
      <c r="I622" s="159" t="str">
        <f t="shared" si="29"/>
        <v/>
      </c>
    </row>
    <row r="623" spans="1:9" hidden="1" x14ac:dyDescent="0.25">
      <c r="A623" s="102" t="s">
        <v>3590</v>
      </c>
      <c r="B623" s="103" t="s">
        <v>3591</v>
      </c>
      <c r="C623" s="104" t="s">
        <v>32</v>
      </c>
      <c r="D623" s="104">
        <v>0</v>
      </c>
      <c r="E623" s="158" t="s">
        <v>1079</v>
      </c>
      <c r="F623" s="159" t="str">
        <f t="shared" si="27"/>
        <v/>
      </c>
      <c r="G623" s="160" t="e">
        <f>IF(A623&lt;&gt;"",IF(AND(#REF!="Padrão",$H$4=#REF!),BDI!$B$17,IF(AND(#REF!="Padrão",$H$4=#REF!),BDI!$C$17,IF(AND(#REF!="Diferenciado",$H$4=#REF!),BDI!$G$17,IF(AND(#REF!="Diferenciado",$H$4=#REF!),BDI!$H$17,IF(#REF!="ZERO",0))))),"")</f>
        <v>#REF!</v>
      </c>
      <c r="H623" s="161" t="str">
        <f t="shared" si="28"/>
        <v/>
      </c>
      <c r="I623" s="159" t="str">
        <f t="shared" si="29"/>
        <v/>
      </c>
    </row>
    <row r="624" spans="1:9" hidden="1" x14ac:dyDescent="0.25">
      <c r="A624" s="102" t="s">
        <v>3592</v>
      </c>
      <c r="B624" s="103" t="s">
        <v>3593</v>
      </c>
      <c r="C624" s="104" t="s">
        <v>32</v>
      </c>
      <c r="D624" s="104">
        <v>0</v>
      </c>
      <c r="E624" s="158" t="s">
        <v>1079</v>
      </c>
      <c r="F624" s="159" t="str">
        <f t="shared" si="27"/>
        <v/>
      </c>
      <c r="G624" s="160" t="e">
        <f>IF(A624&lt;&gt;"",IF(AND(#REF!="Padrão",$H$4=#REF!),BDI!$B$17,IF(AND(#REF!="Padrão",$H$4=#REF!),BDI!$C$17,IF(AND(#REF!="Diferenciado",$H$4=#REF!),BDI!$G$17,IF(AND(#REF!="Diferenciado",$H$4=#REF!),BDI!$H$17,IF(#REF!="ZERO",0))))),"")</f>
        <v>#REF!</v>
      </c>
      <c r="H624" s="161" t="str">
        <f t="shared" si="28"/>
        <v/>
      </c>
      <c r="I624" s="159" t="str">
        <f t="shared" si="29"/>
        <v/>
      </c>
    </row>
    <row r="625" spans="1:9" hidden="1" x14ac:dyDescent="0.25">
      <c r="A625" s="102" t="s">
        <v>3594</v>
      </c>
      <c r="B625" s="103" t="s">
        <v>3595</v>
      </c>
      <c r="C625" s="104" t="s">
        <v>32</v>
      </c>
      <c r="D625" s="104">
        <v>0</v>
      </c>
      <c r="E625" s="158" t="s">
        <v>1079</v>
      </c>
      <c r="F625" s="159" t="str">
        <f t="shared" si="27"/>
        <v/>
      </c>
      <c r="G625" s="160" t="e">
        <f>IF(A625&lt;&gt;"",IF(AND(#REF!="Padrão",$H$4=#REF!),BDI!$B$17,IF(AND(#REF!="Padrão",$H$4=#REF!),BDI!$C$17,IF(AND(#REF!="Diferenciado",$H$4=#REF!),BDI!$G$17,IF(AND(#REF!="Diferenciado",$H$4=#REF!),BDI!$H$17,IF(#REF!="ZERO",0))))),"")</f>
        <v>#REF!</v>
      </c>
      <c r="H625" s="161" t="str">
        <f t="shared" si="28"/>
        <v/>
      </c>
      <c r="I625" s="159" t="str">
        <f t="shared" si="29"/>
        <v/>
      </c>
    </row>
    <row r="626" spans="1:9" hidden="1" x14ac:dyDescent="0.25">
      <c r="A626" s="102" t="s">
        <v>3596</v>
      </c>
      <c r="B626" s="103" t="s">
        <v>3597</v>
      </c>
      <c r="C626" s="104" t="s">
        <v>32</v>
      </c>
      <c r="D626" s="104">
        <v>0</v>
      </c>
      <c r="E626" s="158" t="s">
        <v>1079</v>
      </c>
      <c r="F626" s="159" t="str">
        <f t="shared" si="27"/>
        <v/>
      </c>
      <c r="G626" s="160" t="e">
        <f>IF(A626&lt;&gt;"",IF(AND(#REF!="Padrão",$H$4=#REF!),BDI!$B$17,IF(AND(#REF!="Padrão",$H$4=#REF!),BDI!$C$17,IF(AND(#REF!="Diferenciado",$H$4=#REF!),BDI!$G$17,IF(AND(#REF!="Diferenciado",$H$4=#REF!),BDI!$H$17,IF(#REF!="ZERO",0))))),"")</f>
        <v>#REF!</v>
      </c>
      <c r="H626" s="161" t="str">
        <f t="shared" si="28"/>
        <v/>
      </c>
      <c r="I626" s="159" t="str">
        <f t="shared" si="29"/>
        <v/>
      </c>
    </row>
    <row r="627" spans="1:9" hidden="1" x14ac:dyDescent="0.25">
      <c r="A627" s="102" t="s">
        <v>3598</v>
      </c>
      <c r="B627" s="103" t="s">
        <v>3599</v>
      </c>
      <c r="C627" s="104" t="s">
        <v>32</v>
      </c>
      <c r="D627" s="104">
        <v>0</v>
      </c>
      <c r="E627" s="158" t="s">
        <v>1079</v>
      </c>
      <c r="F627" s="159" t="str">
        <f t="shared" si="27"/>
        <v/>
      </c>
      <c r="G627" s="160" t="e">
        <f>IF(A627&lt;&gt;"",IF(AND(#REF!="Padrão",$H$4=#REF!),BDI!$B$17,IF(AND(#REF!="Padrão",$H$4=#REF!),BDI!$C$17,IF(AND(#REF!="Diferenciado",$H$4=#REF!),BDI!$G$17,IF(AND(#REF!="Diferenciado",$H$4=#REF!),BDI!$H$17,IF(#REF!="ZERO",0))))),"")</f>
        <v>#REF!</v>
      </c>
      <c r="H627" s="161" t="str">
        <f t="shared" si="28"/>
        <v/>
      </c>
      <c r="I627" s="159" t="str">
        <f t="shared" si="29"/>
        <v/>
      </c>
    </row>
    <row r="628" spans="1:9" hidden="1" x14ac:dyDescent="0.25">
      <c r="A628" s="102" t="s">
        <v>3600</v>
      </c>
      <c r="B628" s="103" t="s">
        <v>3601</v>
      </c>
      <c r="C628" s="104" t="s">
        <v>32</v>
      </c>
      <c r="D628" s="104">
        <v>0</v>
      </c>
      <c r="E628" s="158" t="s">
        <v>1079</v>
      </c>
      <c r="F628" s="159" t="str">
        <f t="shared" si="27"/>
        <v/>
      </c>
      <c r="G628" s="160" t="e">
        <f>IF(A628&lt;&gt;"",IF(AND(#REF!="Padrão",$H$4=#REF!),BDI!$B$17,IF(AND(#REF!="Padrão",$H$4=#REF!),BDI!$C$17,IF(AND(#REF!="Diferenciado",$H$4=#REF!),BDI!$G$17,IF(AND(#REF!="Diferenciado",$H$4=#REF!),BDI!$H$17,IF(#REF!="ZERO",0))))),"")</f>
        <v>#REF!</v>
      </c>
      <c r="H628" s="161" t="str">
        <f t="shared" si="28"/>
        <v/>
      </c>
      <c r="I628" s="159" t="str">
        <f t="shared" si="29"/>
        <v/>
      </c>
    </row>
    <row r="629" spans="1:9" hidden="1" x14ac:dyDescent="0.25">
      <c r="A629" s="102" t="s">
        <v>3602</v>
      </c>
      <c r="B629" s="103" t="s">
        <v>3603</v>
      </c>
      <c r="C629" s="104" t="s">
        <v>32</v>
      </c>
      <c r="D629" s="104">
        <v>0</v>
      </c>
      <c r="E629" s="158" t="s">
        <v>1079</v>
      </c>
      <c r="F629" s="159" t="str">
        <f t="shared" si="27"/>
        <v/>
      </c>
      <c r="G629" s="160" t="e">
        <f>IF(A629&lt;&gt;"",IF(AND(#REF!="Padrão",$H$4=#REF!),BDI!$B$17,IF(AND(#REF!="Padrão",$H$4=#REF!),BDI!$C$17,IF(AND(#REF!="Diferenciado",$H$4=#REF!),BDI!$G$17,IF(AND(#REF!="Diferenciado",$H$4=#REF!),BDI!$H$17,IF(#REF!="ZERO",0))))),"")</f>
        <v>#REF!</v>
      </c>
      <c r="H629" s="161" t="str">
        <f t="shared" si="28"/>
        <v/>
      </c>
      <c r="I629" s="159" t="str">
        <f t="shared" si="29"/>
        <v/>
      </c>
    </row>
    <row r="630" spans="1:9" hidden="1" x14ac:dyDescent="0.25">
      <c r="A630" s="102" t="s">
        <v>3604</v>
      </c>
      <c r="B630" s="103" t="s">
        <v>3605</v>
      </c>
      <c r="C630" s="104" t="s">
        <v>32</v>
      </c>
      <c r="D630" s="104">
        <v>0</v>
      </c>
      <c r="E630" s="158" t="s">
        <v>1079</v>
      </c>
      <c r="F630" s="159" t="str">
        <f t="shared" si="27"/>
        <v/>
      </c>
      <c r="G630" s="160" t="e">
        <f>IF(A630&lt;&gt;"",IF(AND(#REF!="Padrão",$H$4=#REF!),BDI!$B$17,IF(AND(#REF!="Padrão",$H$4=#REF!),BDI!$C$17,IF(AND(#REF!="Diferenciado",$H$4=#REF!),BDI!$G$17,IF(AND(#REF!="Diferenciado",$H$4=#REF!),BDI!$H$17,IF(#REF!="ZERO",0))))),"")</f>
        <v>#REF!</v>
      </c>
      <c r="H630" s="161" t="str">
        <f t="shared" si="28"/>
        <v/>
      </c>
      <c r="I630" s="159" t="str">
        <f t="shared" si="29"/>
        <v/>
      </c>
    </row>
    <row r="631" spans="1:9" hidden="1" x14ac:dyDescent="0.25">
      <c r="A631" s="102" t="s">
        <v>3606</v>
      </c>
      <c r="B631" s="103" t="s">
        <v>3607</v>
      </c>
      <c r="C631" s="104" t="s">
        <v>32</v>
      </c>
      <c r="D631" s="104">
        <v>0</v>
      </c>
      <c r="E631" s="158" t="s">
        <v>1079</v>
      </c>
      <c r="F631" s="159" t="str">
        <f t="shared" si="27"/>
        <v/>
      </c>
      <c r="G631" s="160" t="e">
        <f>IF(A631&lt;&gt;"",IF(AND(#REF!="Padrão",$H$4=#REF!),BDI!$B$17,IF(AND(#REF!="Padrão",$H$4=#REF!),BDI!$C$17,IF(AND(#REF!="Diferenciado",$H$4=#REF!),BDI!$G$17,IF(AND(#REF!="Diferenciado",$H$4=#REF!),BDI!$H$17,IF(#REF!="ZERO",0))))),"")</f>
        <v>#REF!</v>
      </c>
      <c r="H631" s="161" t="str">
        <f t="shared" si="28"/>
        <v/>
      </c>
      <c r="I631" s="159" t="str">
        <f t="shared" si="29"/>
        <v/>
      </c>
    </row>
    <row r="632" spans="1:9" hidden="1" x14ac:dyDescent="0.25">
      <c r="A632" s="102" t="s">
        <v>3608</v>
      </c>
      <c r="B632" s="103" t="s">
        <v>3609</v>
      </c>
      <c r="C632" s="104" t="s">
        <v>32</v>
      </c>
      <c r="D632" s="104">
        <v>0</v>
      </c>
      <c r="E632" s="158" t="s">
        <v>1079</v>
      </c>
      <c r="F632" s="159" t="str">
        <f t="shared" si="27"/>
        <v/>
      </c>
      <c r="G632" s="160" t="e">
        <f>IF(A632&lt;&gt;"",IF(AND(#REF!="Padrão",$H$4=#REF!),BDI!$B$17,IF(AND(#REF!="Padrão",$H$4=#REF!),BDI!$C$17,IF(AND(#REF!="Diferenciado",$H$4=#REF!),BDI!$G$17,IF(AND(#REF!="Diferenciado",$H$4=#REF!),BDI!$H$17,IF(#REF!="ZERO",0))))),"")</f>
        <v>#REF!</v>
      </c>
      <c r="H632" s="161" t="str">
        <f t="shared" si="28"/>
        <v/>
      </c>
      <c r="I632" s="159" t="str">
        <f t="shared" si="29"/>
        <v/>
      </c>
    </row>
    <row r="633" spans="1:9" hidden="1" x14ac:dyDescent="0.25">
      <c r="A633" s="102" t="s">
        <v>3610</v>
      </c>
      <c r="B633" s="103" t="s">
        <v>3611</v>
      </c>
      <c r="C633" s="104" t="s">
        <v>32</v>
      </c>
      <c r="D633" s="104">
        <v>0</v>
      </c>
      <c r="E633" s="158" t="s">
        <v>1079</v>
      </c>
      <c r="F633" s="159" t="str">
        <f t="shared" si="27"/>
        <v/>
      </c>
      <c r="G633" s="160" t="e">
        <f>IF(A633&lt;&gt;"",IF(AND(#REF!="Padrão",$H$4=#REF!),BDI!$B$17,IF(AND(#REF!="Padrão",$H$4=#REF!),BDI!$C$17,IF(AND(#REF!="Diferenciado",$H$4=#REF!),BDI!$G$17,IF(AND(#REF!="Diferenciado",$H$4=#REF!),BDI!$H$17,IF(#REF!="ZERO",0))))),"")</f>
        <v>#REF!</v>
      </c>
      <c r="H633" s="161" t="str">
        <f t="shared" si="28"/>
        <v/>
      </c>
      <c r="I633" s="159" t="str">
        <f t="shared" si="29"/>
        <v/>
      </c>
    </row>
    <row r="634" spans="1:9" hidden="1" x14ac:dyDescent="0.25">
      <c r="A634" s="102" t="s">
        <v>3612</v>
      </c>
      <c r="B634" s="103" t="s">
        <v>3613</v>
      </c>
      <c r="C634" s="104" t="s">
        <v>32</v>
      </c>
      <c r="D634" s="104">
        <v>0</v>
      </c>
      <c r="E634" s="158" t="s">
        <v>1079</v>
      </c>
      <c r="F634" s="159" t="str">
        <f t="shared" si="27"/>
        <v/>
      </c>
      <c r="G634" s="160" t="e">
        <f>IF(A634&lt;&gt;"",IF(AND(#REF!="Padrão",$H$4=#REF!),BDI!$B$17,IF(AND(#REF!="Padrão",$H$4=#REF!),BDI!$C$17,IF(AND(#REF!="Diferenciado",$H$4=#REF!),BDI!$G$17,IF(AND(#REF!="Diferenciado",$H$4=#REF!),BDI!$H$17,IF(#REF!="ZERO",0))))),"")</f>
        <v>#REF!</v>
      </c>
      <c r="H634" s="161" t="str">
        <f t="shared" si="28"/>
        <v/>
      </c>
      <c r="I634" s="159" t="str">
        <f t="shared" si="29"/>
        <v/>
      </c>
    </row>
    <row r="635" spans="1:9" hidden="1" x14ac:dyDescent="0.25">
      <c r="A635" s="102" t="s">
        <v>3614</v>
      </c>
      <c r="B635" s="103" t="s">
        <v>3615</v>
      </c>
      <c r="C635" s="104" t="s">
        <v>32</v>
      </c>
      <c r="D635" s="104">
        <v>0</v>
      </c>
      <c r="E635" s="158" t="s">
        <v>1079</v>
      </c>
      <c r="F635" s="159" t="str">
        <f t="shared" si="27"/>
        <v/>
      </c>
      <c r="G635" s="160" t="e">
        <f>IF(A635&lt;&gt;"",IF(AND(#REF!="Padrão",$H$4=#REF!),BDI!$B$17,IF(AND(#REF!="Padrão",$H$4=#REF!),BDI!$C$17,IF(AND(#REF!="Diferenciado",$H$4=#REF!),BDI!$G$17,IF(AND(#REF!="Diferenciado",$H$4=#REF!),BDI!$H$17,IF(#REF!="ZERO",0))))),"")</f>
        <v>#REF!</v>
      </c>
      <c r="H635" s="161" t="str">
        <f t="shared" si="28"/>
        <v/>
      </c>
      <c r="I635" s="159" t="str">
        <f t="shared" si="29"/>
        <v/>
      </c>
    </row>
    <row r="636" spans="1:9" hidden="1" x14ac:dyDescent="0.25">
      <c r="A636" s="102" t="s">
        <v>3616</v>
      </c>
      <c r="B636" s="103" t="s">
        <v>3617</v>
      </c>
      <c r="C636" s="104" t="s">
        <v>32</v>
      </c>
      <c r="D636" s="104">
        <v>0</v>
      </c>
      <c r="E636" s="158" t="s">
        <v>1079</v>
      </c>
      <c r="F636" s="159" t="str">
        <f t="shared" si="27"/>
        <v/>
      </c>
      <c r="G636" s="160" t="e">
        <f>IF(A636&lt;&gt;"",IF(AND(#REF!="Padrão",$H$4=#REF!),BDI!$B$17,IF(AND(#REF!="Padrão",$H$4=#REF!),BDI!$C$17,IF(AND(#REF!="Diferenciado",$H$4=#REF!),BDI!$G$17,IF(AND(#REF!="Diferenciado",$H$4=#REF!),BDI!$H$17,IF(#REF!="ZERO",0))))),"")</f>
        <v>#REF!</v>
      </c>
      <c r="H636" s="161" t="str">
        <f t="shared" si="28"/>
        <v/>
      </c>
      <c r="I636" s="159" t="str">
        <f t="shared" si="29"/>
        <v/>
      </c>
    </row>
    <row r="637" spans="1:9" hidden="1" x14ac:dyDescent="0.25">
      <c r="A637" s="102" t="s">
        <v>3618</v>
      </c>
      <c r="B637" s="103" t="s">
        <v>3619</v>
      </c>
      <c r="C637" s="104" t="s">
        <v>32</v>
      </c>
      <c r="D637" s="104">
        <v>0</v>
      </c>
      <c r="E637" s="158" t="s">
        <v>1079</v>
      </c>
      <c r="F637" s="159" t="str">
        <f t="shared" si="27"/>
        <v/>
      </c>
      <c r="G637" s="160" t="e">
        <f>IF(A637&lt;&gt;"",IF(AND(#REF!="Padrão",$H$4=#REF!),BDI!$B$17,IF(AND(#REF!="Padrão",$H$4=#REF!),BDI!$C$17,IF(AND(#REF!="Diferenciado",$H$4=#REF!),BDI!$G$17,IF(AND(#REF!="Diferenciado",$H$4=#REF!),BDI!$H$17,IF(#REF!="ZERO",0))))),"")</f>
        <v>#REF!</v>
      </c>
      <c r="H637" s="161" t="str">
        <f t="shared" si="28"/>
        <v/>
      </c>
      <c r="I637" s="159" t="str">
        <f t="shared" si="29"/>
        <v/>
      </c>
    </row>
    <row r="638" spans="1:9" hidden="1" x14ac:dyDescent="0.25">
      <c r="A638" s="102" t="s">
        <v>3620</v>
      </c>
      <c r="B638" s="103" t="s">
        <v>3621</v>
      </c>
      <c r="C638" s="104" t="s">
        <v>32</v>
      </c>
      <c r="D638" s="104">
        <v>0</v>
      </c>
      <c r="E638" s="158" t="s">
        <v>1079</v>
      </c>
      <c r="F638" s="159" t="str">
        <f t="shared" si="27"/>
        <v/>
      </c>
      <c r="G638" s="160" t="e">
        <f>IF(A638&lt;&gt;"",IF(AND(#REF!="Padrão",$H$4=#REF!),BDI!$B$17,IF(AND(#REF!="Padrão",$H$4=#REF!),BDI!$C$17,IF(AND(#REF!="Diferenciado",$H$4=#REF!),BDI!$G$17,IF(AND(#REF!="Diferenciado",$H$4=#REF!),BDI!$H$17,IF(#REF!="ZERO",0))))),"")</f>
        <v>#REF!</v>
      </c>
      <c r="H638" s="161" t="str">
        <f t="shared" si="28"/>
        <v/>
      </c>
      <c r="I638" s="159" t="str">
        <f t="shared" si="29"/>
        <v/>
      </c>
    </row>
    <row r="639" spans="1:9" hidden="1" x14ac:dyDescent="0.25">
      <c r="A639" s="102" t="s">
        <v>3622</v>
      </c>
      <c r="B639" s="103" t="s">
        <v>3623</v>
      </c>
      <c r="C639" s="104" t="s">
        <v>32</v>
      </c>
      <c r="D639" s="104">
        <v>0</v>
      </c>
      <c r="E639" s="158" t="s">
        <v>1079</v>
      </c>
      <c r="F639" s="159" t="str">
        <f t="shared" si="27"/>
        <v/>
      </c>
      <c r="G639" s="160" t="e">
        <f>IF(A639&lt;&gt;"",IF(AND(#REF!="Padrão",$H$4=#REF!),BDI!$B$17,IF(AND(#REF!="Padrão",$H$4=#REF!),BDI!$C$17,IF(AND(#REF!="Diferenciado",$H$4=#REF!),BDI!$G$17,IF(AND(#REF!="Diferenciado",$H$4=#REF!),BDI!$H$17,IF(#REF!="ZERO",0))))),"")</f>
        <v>#REF!</v>
      </c>
      <c r="H639" s="161" t="str">
        <f t="shared" si="28"/>
        <v/>
      </c>
      <c r="I639" s="159" t="str">
        <f t="shared" si="29"/>
        <v/>
      </c>
    </row>
    <row r="640" spans="1:9" hidden="1" x14ac:dyDescent="0.25">
      <c r="A640" s="102" t="s">
        <v>3624</v>
      </c>
      <c r="B640" s="103" t="s">
        <v>3625</v>
      </c>
      <c r="C640" s="104" t="s">
        <v>32</v>
      </c>
      <c r="D640" s="104">
        <v>0</v>
      </c>
      <c r="E640" s="158" t="s">
        <v>1079</v>
      </c>
      <c r="F640" s="159" t="str">
        <f t="shared" si="27"/>
        <v/>
      </c>
      <c r="G640" s="160" t="e">
        <f>IF(A640&lt;&gt;"",IF(AND(#REF!="Padrão",$H$4=#REF!),BDI!$B$17,IF(AND(#REF!="Padrão",$H$4=#REF!),BDI!$C$17,IF(AND(#REF!="Diferenciado",$H$4=#REF!),BDI!$G$17,IF(AND(#REF!="Diferenciado",$H$4=#REF!),BDI!$H$17,IF(#REF!="ZERO",0))))),"")</f>
        <v>#REF!</v>
      </c>
      <c r="H640" s="161" t="str">
        <f t="shared" si="28"/>
        <v/>
      </c>
      <c r="I640" s="159" t="str">
        <f t="shared" si="29"/>
        <v/>
      </c>
    </row>
    <row r="641" spans="1:9" hidden="1" x14ac:dyDescent="0.25">
      <c r="A641" s="102" t="s">
        <v>3626</v>
      </c>
      <c r="B641" s="103" t="s">
        <v>3627</v>
      </c>
      <c r="C641" s="104" t="s">
        <v>32</v>
      </c>
      <c r="D641" s="104">
        <v>0</v>
      </c>
      <c r="E641" s="158" t="s">
        <v>1079</v>
      </c>
      <c r="F641" s="159" t="str">
        <f t="shared" si="27"/>
        <v/>
      </c>
      <c r="G641" s="160" t="e">
        <f>IF(A641&lt;&gt;"",IF(AND(#REF!="Padrão",$H$4=#REF!),BDI!$B$17,IF(AND(#REF!="Padrão",$H$4=#REF!),BDI!$C$17,IF(AND(#REF!="Diferenciado",$H$4=#REF!),BDI!$G$17,IF(AND(#REF!="Diferenciado",$H$4=#REF!),BDI!$H$17,IF(#REF!="ZERO",0))))),"")</f>
        <v>#REF!</v>
      </c>
      <c r="H641" s="161" t="str">
        <f t="shared" si="28"/>
        <v/>
      </c>
      <c r="I641" s="159" t="str">
        <f t="shared" si="29"/>
        <v/>
      </c>
    </row>
    <row r="642" spans="1:9" hidden="1" x14ac:dyDescent="0.25">
      <c r="A642" s="102" t="s">
        <v>3628</v>
      </c>
      <c r="B642" s="103" t="s">
        <v>3629</v>
      </c>
      <c r="C642" s="104" t="s">
        <v>32</v>
      </c>
      <c r="D642" s="104">
        <v>0</v>
      </c>
      <c r="E642" s="158" t="s">
        <v>1079</v>
      </c>
      <c r="F642" s="159" t="str">
        <f t="shared" si="27"/>
        <v/>
      </c>
      <c r="G642" s="160" t="e">
        <f>IF(A642&lt;&gt;"",IF(AND(#REF!="Padrão",$H$4=#REF!),BDI!$B$17,IF(AND(#REF!="Padrão",$H$4=#REF!),BDI!$C$17,IF(AND(#REF!="Diferenciado",$H$4=#REF!),BDI!$G$17,IF(AND(#REF!="Diferenciado",$H$4=#REF!),BDI!$H$17,IF(#REF!="ZERO",0))))),"")</f>
        <v>#REF!</v>
      </c>
      <c r="H642" s="161" t="str">
        <f t="shared" si="28"/>
        <v/>
      </c>
      <c r="I642" s="159" t="str">
        <f t="shared" si="29"/>
        <v/>
      </c>
    </row>
    <row r="643" spans="1:9" hidden="1" x14ac:dyDescent="0.25">
      <c r="A643" s="102" t="s">
        <v>3630</v>
      </c>
      <c r="B643" s="103" t="s">
        <v>3631</v>
      </c>
      <c r="C643" s="104" t="s">
        <v>32</v>
      </c>
      <c r="D643" s="104">
        <v>0</v>
      </c>
      <c r="E643" s="158" t="s">
        <v>1079</v>
      </c>
      <c r="F643" s="159" t="str">
        <f t="shared" si="27"/>
        <v/>
      </c>
      <c r="G643" s="160" t="e">
        <f>IF(A643&lt;&gt;"",IF(AND(#REF!="Padrão",$H$4=#REF!),BDI!$B$17,IF(AND(#REF!="Padrão",$H$4=#REF!),BDI!$C$17,IF(AND(#REF!="Diferenciado",$H$4=#REF!),BDI!$G$17,IF(AND(#REF!="Diferenciado",$H$4=#REF!),BDI!$H$17,IF(#REF!="ZERO",0))))),"")</f>
        <v>#REF!</v>
      </c>
      <c r="H643" s="161" t="str">
        <f t="shared" si="28"/>
        <v/>
      </c>
      <c r="I643" s="159" t="str">
        <f t="shared" si="29"/>
        <v/>
      </c>
    </row>
    <row r="644" spans="1:9" hidden="1" x14ac:dyDescent="0.25">
      <c r="A644" s="102" t="s">
        <v>3632</v>
      </c>
      <c r="B644" s="103" t="s">
        <v>3633</v>
      </c>
      <c r="C644" s="104" t="s">
        <v>32</v>
      </c>
      <c r="D644" s="104">
        <v>0</v>
      </c>
      <c r="E644" s="158" t="s">
        <v>1079</v>
      </c>
      <c r="F644" s="159" t="str">
        <f t="shared" si="27"/>
        <v/>
      </c>
      <c r="G644" s="160" t="e">
        <f>IF(A644&lt;&gt;"",IF(AND(#REF!="Padrão",$H$4=#REF!),BDI!$B$17,IF(AND(#REF!="Padrão",$H$4=#REF!),BDI!$C$17,IF(AND(#REF!="Diferenciado",$H$4=#REF!),BDI!$G$17,IF(AND(#REF!="Diferenciado",$H$4=#REF!),BDI!$H$17,IF(#REF!="ZERO",0))))),"")</f>
        <v>#REF!</v>
      </c>
      <c r="H644" s="161" t="str">
        <f t="shared" si="28"/>
        <v/>
      </c>
      <c r="I644" s="159" t="str">
        <f t="shared" si="29"/>
        <v/>
      </c>
    </row>
    <row r="645" spans="1:9" hidden="1" x14ac:dyDescent="0.25">
      <c r="A645" s="102" t="s">
        <v>3634</v>
      </c>
      <c r="B645" s="103" t="s">
        <v>3635</v>
      </c>
      <c r="C645" s="104" t="s">
        <v>32</v>
      </c>
      <c r="D645" s="104">
        <v>0</v>
      </c>
      <c r="E645" s="158" t="s">
        <v>1079</v>
      </c>
      <c r="F645" s="159" t="str">
        <f t="shared" si="27"/>
        <v/>
      </c>
      <c r="G645" s="160" t="e">
        <f>IF(A645&lt;&gt;"",IF(AND(#REF!="Padrão",$H$4=#REF!),BDI!$B$17,IF(AND(#REF!="Padrão",$H$4=#REF!),BDI!$C$17,IF(AND(#REF!="Diferenciado",$H$4=#REF!),BDI!$G$17,IF(AND(#REF!="Diferenciado",$H$4=#REF!),BDI!$H$17,IF(#REF!="ZERO",0))))),"")</f>
        <v>#REF!</v>
      </c>
      <c r="H645" s="161" t="str">
        <f t="shared" si="28"/>
        <v/>
      </c>
      <c r="I645" s="159" t="str">
        <f t="shared" si="29"/>
        <v/>
      </c>
    </row>
    <row r="646" spans="1:9" hidden="1" x14ac:dyDescent="0.25">
      <c r="A646" s="102" t="s">
        <v>3636</v>
      </c>
      <c r="B646" s="103" t="s">
        <v>3637</v>
      </c>
      <c r="C646" s="104" t="s">
        <v>32</v>
      </c>
      <c r="D646" s="104">
        <v>0</v>
      </c>
      <c r="E646" s="158" t="s">
        <v>1079</v>
      </c>
      <c r="F646" s="159" t="str">
        <f t="shared" si="27"/>
        <v/>
      </c>
      <c r="G646" s="160" t="e">
        <f>IF(A646&lt;&gt;"",IF(AND(#REF!="Padrão",$H$4=#REF!),BDI!$B$17,IF(AND(#REF!="Padrão",$H$4=#REF!),BDI!$C$17,IF(AND(#REF!="Diferenciado",$H$4=#REF!),BDI!$G$17,IF(AND(#REF!="Diferenciado",$H$4=#REF!),BDI!$H$17,IF(#REF!="ZERO",0))))),"")</f>
        <v>#REF!</v>
      </c>
      <c r="H646" s="161" t="str">
        <f t="shared" si="28"/>
        <v/>
      </c>
      <c r="I646" s="159" t="str">
        <f t="shared" si="29"/>
        <v/>
      </c>
    </row>
    <row r="647" spans="1:9" hidden="1" x14ac:dyDescent="0.25">
      <c r="A647" s="102" t="s">
        <v>3638</v>
      </c>
      <c r="B647" s="103" t="s">
        <v>3639</v>
      </c>
      <c r="C647" s="104" t="s">
        <v>32</v>
      </c>
      <c r="D647" s="104">
        <v>0</v>
      </c>
      <c r="E647" s="158" t="s">
        <v>1079</v>
      </c>
      <c r="F647" s="159" t="str">
        <f t="shared" ref="F647:F710" si="30">IF(ISNUMBER(E647),D647*E647,"")</f>
        <v/>
      </c>
      <c r="G647" s="160" t="e">
        <f>IF(A647&lt;&gt;"",IF(AND(#REF!="Padrão",$H$4=#REF!),BDI!$B$17,IF(AND(#REF!="Padrão",$H$4=#REF!),BDI!$C$17,IF(AND(#REF!="Diferenciado",$H$4=#REF!),BDI!$G$17,IF(AND(#REF!="Diferenciado",$H$4=#REF!),BDI!$H$17,IF(#REF!="ZERO",0))))),"")</f>
        <v>#REF!</v>
      </c>
      <c r="H647" s="161" t="str">
        <f t="shared" ref="H647:H710" si="31">IF(ISNUMBER(E647),ROUND(E647*(1+G647),2),"")</f>
        <v/>
      </c>
      <c r="I647" s="159" t="str">
        <f t="shared" ref="I647:I710" si="32">IF(ISNUMBER(E647),ROUND(H647*D647,2),"")</f>
        <v/>
      </c>
    </row>
    <row r="648" spans="1:9" hidden="1" x14ac:dyDescent="0.25">
      <c r="A648" s="102" t="s">
        <v>3640</v>
      </c>
      <c r="B648" s="103" t="s">
        <v>3641</v>
      </c>
      <c r="C648" s="104" t="s">
        <v>32</v>
      </c>
      <c r="D648" s="104">
        <v>0</v>
      </c>
      <c r="E648" s="158" t="s">
        <v>1079</v>
      </c>
      <c r="F648" s="159" t="str">
        <f t="shared" si="30"/>
        <v/>
      </c>
      <c r="G648" s="160" t="e">
        <f>IF(A648&lt;&gt;"",IF(AND(#REF!="Padrão",$H$4=#REF!),BDI!$B$17,IF(AND(#REF!="Padrão",$H$4=#REF!),BDI!$C$17,IF(AND(#REF!="Diferenciado",$H$4=#REF!),BDI!$G$17,IF(AND(#REF!="Diferenciado",$H$4=#REF!),BDI!$H$17,IF(#REF!="ZERO",0))))),"")</f>
        <v>#REF!</v>
      </c>
      <c r="H648" s="161" t="str">
        <f t="shared" si="31"/>
        <v/>
      </c>
      <c r="I648" s="159" t="str">
        <f t="shared" si="32"/>
        <v/>
      </c>
    </row>
    <row r="649" spans="1:9" hidden="1" x14ac:dyDescent="0.25">
      <c r="A649" s="102" t="s">
        <v>3642</v>
      </c>
      <c r="B649" s="103" t="s">
        <v>3643</v>
      </c>
      <c r="C649" s="104" t="s">
        <v>75</v>
      </c>
      <c r="D649" s="104">
        <v>0</v>
      </c>
      <c r="E649" s="158" t="s">
        <v>1079</v>
      </c>
      <c r="F649" s="159" t="str">
        <f t="shared" si="30"/>
        <v/>
      </c>
      <c r="G649" s="160" t="e">
        <f>IF(A649&lt;&gt;"",IF(AND(#REF!="Padrão",$H$4=#REF!),BDI!$B$17,IF(AND(#REF!="Padrão",$H$4=#REF!),BDI!$C$17,IF(AND(#REF!="Diferenciado",$H$4=#REF!),BDI!$G$17,IF(AND(#REF!="Diferenciado",$H$4=#REF!),BDI!$H$17,IF(#REF!="ZERO",0))))),"")</f>
        <v>#REF!</v>
      </c>
      <c r="H649" s="161" t="str">
        <f t="shared" si="31"/>
        <v/>
      </c>
      <c r="I649" s="159" t="str">
        <f t="shared" si="32"/>
        <v/>
      </c>
    </row>
    <row r="650" spans="1:9" hidden="1" x14ac:dyDescent="0.25">
      <c r="A650" s="102" t="s">
        <v>3644</v>
      </c>
      <c r="B650" s="103" t="s">
        <v>3645</v>
      </c>
      <c r="C650" s="104" t="s">
        <v>3133</v>
      </c>
      <c r="D650" s="104">
        <v>0</v>
      </c>
      <c r="E650" s="158" t="s">
        <v>1079</v>
      </c>
      <c r="F650" s="159" t="str">
        <f t="shared" si="30"/>
        <v/>
      </c>
      <c r="G650" s="160" t="e">
        <f>IF(A650&lt;&gt;"",IF(AND(#REF!="Padrão",$H$4=#REF!),BDI!$B$17,IF(AND(#REF!="Padrão",$H$4=#REF!),BDI!$C$17,IF(AND(#REF!="Diferenciado",$H$4=#REF!),BDI!$G$17,IF(AND(#REF!="Diferenciado",$H$4=#REF!),BDI!$H$17,IF(#REF!="ZERO",0))))),"")</f>
        <v>#REF!</v>
      </c>
      <c r="H650" s="161" t="str">
        <f t="shared" si="31"/>
        <v/>
      </c>
      <c r="I650" s="159" t="str">
        <f t="shared" si="32"/>
        <v/>
      </c>
    </row>
    <row r="651" spans="1:9" hidden="1" x14ac:dyDescent="0.25">
      <c r="A651" s="102" t="s">
        <v>3646</v>
      </c>
      <c r="B651" s="103" t="s">
        <v>3647</v>
      </c>
      <c r="C651" s="104" t="s">
        <v>3133</v>
      </c>
      <c r="D651" s="104">
        <v>0</v>
      </c>
      <c r="E651" s="158" t="s">
        <v>1079</v>
      </c>
      <c r="F651" s="159" t="str">
        <f t="shared" si="30"/>
        <v/>
      </c>
      <c r="G651" s="160" t="e">
        <f>IF(A651&lt;&gt;"",IF(AND(#REF!="Padrão",$H$4=#REF!),BDI!$B$17,IF(AND(#REF!="Padrão",$H$4=#REF!),BDI!$C$17,IF(AND(#REF!="Diferenciado",$H$4=#REF!),BDI!$G$17,IF(AND(#REF!="Diferenciado",$H$4=#REF!),BDI!$H$17,IF(#REF!="ZERO",0))))),"")</f>
        <v>#REF!</v>
      </c>
      <c r="H651" s="161" t="str">
        <f t="shared" si="31"/>
        <v/>
      </c>
      <c r="I651" s="159" t="str">
        <f t="shared" si="32"/>
        <v/>
      </c>
    </row>
    <row r="652" spans="1:9" hidden="1" x14ac:dyDescent="0.25">
      <c r="A652" s="102" t="s">
        <v>3648</v>
      </c>
      <c r="B652" s="103" t="s">
        <v>3649</v>
      </c>
      <c r="C652" s="104" t="s">
        <v>3133</v>
      </c>
      <c r="D652" s="104">
        <v>0</v>
      </c>
      <c r="E652" s="158" t="s">
        <v>1079</v>
      </c>
      <c r="F652" s="159" t="str">
        <f t="shared" si="30"/>
        <v/>
      </c>
      <c r="G652" s="160" t="e">
        <f>IF(A652&lt;&gt;"",IF(AND(#REF!="Padrão",$H$4=#REF!),BDI!$B$17,IF(AND(#REF!="Padrão",$H$4=#REF!),BDI!$C$17,IF(AND(#REF!="Diferenciado",$H$4=#REF!),BDI!$G$17,IF(AND(#REF!="Diferenciado",$H$4=#REF!),BDI!$H$17,IF(#REF!="ZERO",0))))),"")</f>
        <v>#REF!</v>
      </c>
      <c r="H652" s="161" t="str">
        <f t="shared" si="31"/>
        <v/>
      </c>
      <c r="I652" s="159" t="str">
        <f t="shared" si="32"/>
        <v/>
      </c>
    </row>
    <row r="653" spans="1:9" hidden="1" x14ac:dyDescent="0.25">
      <c r="A653" s="102" t="s">
        <v>3650</v>
      </c>
      <c r="B653" s="103" t="s">
        <v>3651</v>
      </c>
      <c r="C653" s="104" t="s">
        <v>3133</v>
      </c>
      <c r="D653" s="104">
        <v>0</v>
      </c>
      <c r="E653" s="158" t="s">
        <v>1079</v>
      </c>
      <c r="F653" s="159" t="str">
        <f t="shared" si="30"/>
        <v/>
      </c>
      <c r="G653" s="160" t="e">
        <f>IF(A653&lt;&gt;"",IF(AND(#REF!="Padrão",$H$4=#REF!),BDI!$B$17,IF(AND(#REF!="Padrão",$H$4=#REF!),BDI!$C$17,IF(AND(#REF!="Diferenciado",$H$4=#REF!),BDI!$G$17,IF(AND(#REF!="Diferenciado",$H$4=#REF!),BDI!$H$17,IF(#REF!="ZERO",0))))),"")</f>
        <v>#REF!</v>
      </c>
      <c r="H653" s="161" t="str">
        <f t="shared" si="31"/>
        <v/>
      </c>
      <c r="I653" s="159" t="str">
        <f t="shared" si="32"/>
        <v/>
      </c>
    </row>
    <row r="654" spans="1:9" hidden="1" x14ac:dyDescent="0.25">
      <c r="A654" s="102" t="s">
        <v>3652</v>
      </c>
      <c r="B654" s="103" t="s">
        <v>3653</v>
      </c>
      <c r="C654" s="104" t="s">
        <v>3133</v>
      </c>
      <c r="D654" s="104">
        <v>0</v>
      </c>
      <c r="E654" s="158" t="s">
        <v>1079</v>
      </c>
      <c r="F654" s="159" t="str">
        <f t="shared" si="30"/>
        <v/>
      </c>
      <c r="G654" s="160" t="e">
        <f>IF(A654&lt;&gt;"",IF(AND(#REF!="Padrão",$H$4=#REF!),BDI!$B$17,IF(AND(#REF!="Padrão",$H$4=#REF!),BDI!$C$17,IF(AND(#REF!="Diferenciado",$H$4=#REF!),BDI!$G$17,IF(AND(#REF!="Diferenciado",$H$4=#REF!),BDI!$H$17,IF(#REF!="ZERO",0))))),"")</f>
        <v>#REF!</v>
      </c>
      <c r="H654" s="161" t="str">
        <f t="shared" si="31"/>
        <v/>
      </c>
      <c r="I654" s="159" t="str">
        <f t="shared" si="32"/>
        <v/>
      </c>
    </row>
    <row r="655" spans="1:9" hidden="1" x14ac:dyDescent="0.25">
      <c r="A655" s="102" t="s">
        <v>3654</v>
      </c>
      <c r="B655" s="103" t="s">
        <v>3655</v>
      </c>
      <c r="C655" s="104" t="s">
        <v>32</v>
      </c>
      <c r="D655" s="104">
        <v>0</v>
      </c>
      <c r="E655" s="158" t="s">
        <v>1079</v>
      </c>
      <c r="F655" s="159" t="str">
        <f t="shared" si="30"/>
        <v/>
      </c>
      <c r="G655" s="160" t="e">
        <f>IF(A655&lt;&gt;"",IF(AND(#REF!="Padrão",$H$4=#REF!),BDI!$B$17,IF(AND(#REF!="Padrão",$H$4=#REF!),BDI!$C$17,IF(AND(#REF!="Diferenciado",$H$4=#REF!),BDI!$G$17,IF(AND(#REF!="Diferenciado",$H$4=#REF!),BDI!$H$17,IF(#REF!="ZERO",0))))),"")</f>
        <v>#REF!</v>
      </c>
      <c r="H655" s="161" t="str">
        <f t="shared" si="31"/>
        <v/>
      </c>
      <c r="I655" s="159" t="str">
        <f t="shared" si="32"/>
        <v/>
      </c>
    </row>
    <row r="656" spans="1:9" hidden="1" x14ac:dyDescent="0.25">
      <c r="A656" s="102" t="s">
        <v>3656</v>
      </c>
      <c r="B656" s="103" t="s">
        <v>3657</v>
      </c>
      <c r="C656" s="104" t="s">
        <v>75</v>
      </c>
      <c r="D656" s="104">
        <v>0</v>
      </c>
      <c r="E656" s="158" t="s">
        <v>1079</v>
      </c>
      <c r="F656" s="159" t="str">
        <f t="shared" si="30"/>
        <v/>
      </c>
      <c r="G656" s="160" t="e">
        <f>IF(A656&lt;&gt;"",IF(AND(#REF!="Padrão",$H$4=#REF!),BDI!$B$17,IF(AND(#REF!="Padrão",$H$4=#REF!),BDI!$C$17,IF(AND(#REF!="Diferenciado",$H$4=#REF!),BDI!$G$17,IF(AND(#REF!="Diferenciado",$H$4=#REF!),BDI!$H$17,IF(#REF!="ZERO",0))))),"")</f>
        <v>#REF!</v>
      </c>
      <c r="H656" s="161" t="str">
        <f t="shared" si="31"/>
        <v/>
      </c>
      <c r="I656" s="159" t="str">
        <f t="shared" si="32"/>
        <v/>
      </c>
    </row>
    <row r="657" spans="1:9" hidden="1" x14ac:dyDescent="0.25">
      <c r="A657" s="102" t="s">
        <v>3658</v>
      </c>
      <c r="B657" s="103" t="s">
        <v>3659</v>
      </c>
      <c r="C657" s="104" t="s">
        <v>32</v>
      </c>
      <c r="D657" s="104">
        <v>0</v>
      </c>
      <c r="E657" s="158" t="s">
        <v>1079</v>
      </c>
      <c r="F657" s="159" t="str">
        <f t="shared" si="30"/>
        <v/>
      </c>
      <c r="G657" s="160" t="e">
        <f>IF(A657&lt;&gt;"",IF(AND(#REF!="Padrão",$H$4=#REF!),BDI!$B$17,IF(AND(#REF!="Padrão",$H$4=#REF!),BDI!$C$17,IF(AND(#REF!="Diferenciado",$H$4=#REF!),BDI!$G$17,IF(AND(#REF!="Diferenciado",$H$4=#REF!),BDI!$H$17,IF(#REF!="ZERO",0))))),"")</f>
        <v>#REF!</v>
      </c>
      <c r="H657" s="161" t="str">
        <f t="shared" si="31"/>
        <v/>
      </c>
      <c r="I657" s="159" t="str">
        <f t="shared" si="32"/>
        <v/>
      </c>
    </row>
    <row r="658" spans="1:9" hidden="1" x14ac:dyDescent="0.25">
      <c r="A658" s="102" t="s">
        <v>3660</v>
      </c>
      <c r="B658" s="103" t="s">
        <v>3661</v>
      </c>
      <c r="C658" s="104" t="s">
        <v>32</v>
      </c>
      <c r="D658" s="104">
        <v>0</v>
      </c>
      <c r="E658" s="158" t="s">
        <v>1079</v>
      </c>
      <c r="F658" s="159" t="str">
        <f t="shared" si="30"/>
        <v/>
      </c>
      <c r="G658" s="160" t="e">
        <f>IF(A658&lt;&gt;"",IF(AND(#REF!="Padrão",$H$4=#REF!),BDI!$B$17,IF(AND(#REF!="Padrão",$H$4=#REF!),BDI!$C$17,IF(AND(#REF!="Diferenciado",$H$4=#REF!),BDI!$G$17,IF(AND(#REF!="Diferenciado",$H$4=#REF!),BDI!$H$17,IF(#REF!="ZERO",0))))),"")</f>
        <v>#REF!</v>
      </c>
      <c r="H658" s="161" t="str">
        <f t="shared" si="31"/>
        <v/>
      </c>
      <c r="I658" s="159" t="str">
        <f t="shared" si="32"/>
        <v/>
      </c>
    </row>
    <row r="659" spans="1:9" hidden="1" x14ac:dyDescent="0.25">
      <c r="A659" s="102" t="s">
        <v>3662</v>
      </c>
      <c r="B659" s="103" t="s">
        <v>3663</v>
      </c>
      <c r="C659" s="104" t="s">
        <v>32</v>
      </c>
      <c r="D659" s="104">
        <v>0</v>
      </c>
      <c r="E659" s="158" t="s">
        <v>1079</v>
      </c>
      <c r="F659" s="159" t="str">
        <f t="shared" si="30"/>
        <v/>
      </c>
      <c r="G659" s="160" t="e">
        <f>IF(A659&lt;&gt;"",IF(AND(#REF!="Padrão",$H$4=#REF!),BDI!$B$17,IF(AND(#REF!="Padrão",$H$4=#REF!),BDI!$C$17,IF(AND(#REF!="Diferenciado",$H$4=#REF!),BDI!$G$17,IF(AND(#REF!="Diferenciado",$H$4=#REF!),BDI!$H$17,IF(#REF!="ZERO",0))))),"")</f>
        <v>#REF!</v>
      </c>
      <c r="H659" s="161" t="str">
        <f t="shared" si="31"/>
        <v/>
      </c>
      <c r="I659" s="159" t="str">
        <f t="shared" si="32"/>
        <v/>
      </c>
    </row>
    <row r="660" spans="1:9" hidden="1" x14ac:dyDescent="0.25">
      <c r="A660" s="102" t="s">
        <v>3664</v>
      </c>
      <c r="B660" s="103" t="s">
        <v>3665</v>
      </c>
      <c r="C660" s="104" t="s">
        <v>32</v>
      </c>
      <c r="D660" s="104">
        <v>0</v>
      </c>
      <c r="E660" s="158" t="s">
        <v>1079</v>
      </c>
      <c r="F660" s="159" t="str">
        <f t="shared" si="30"/>
        <v/>
      </c>
      <c r="G660" s="160" t="e">
        <f>IF(A660&lt;&gt;"",IF(AND(#REF!="Padrão",$H$4=#REF!),BDI!$B$17,IF(AND(#REF!="Padrão",$H$4=#REF!),BDI!$C$17,IF(AND(#REF!="Diferenciado",$H$4=#REF!),BDI!$G$17,IF(AND(#REF!="Diferenciado",$H$4=#REF!),BDI!$H$17,IF(#REF!="ZERO",0))))),"")</f>
        <v>#REF!</v>
      </c>
      <c r="H660" s="161" t="str">
        <f t="shared" si="31"/>
        <v/>
      </c>
      <c r="I660" s="159" t="str">
        <f t="shared" si="32"/>
        <v/>
      </c>
    </row>
    <row r="661" spans="1:9" hidden="1" x14ac:dyDescent="0.25">
      <c r="A661" s="102" t="s">
        <v>3666</v>
      </c>
      <c r="B661" s="103" t="s">
        <v>3667</v>
      </c>
      <c r="C661" s="104" t="s">
        <v>32</v>
      </c>
      <c r="D661" s="104">
        <v>0</v>
      </c>
      <c r="E661" s="158" t="s">
        <v>1079</v>
      </c>
      <c r="F661" s="159" t="str">
        <f t="shared" si="30"/>
        <v/>
      </c>
      <c r="G661" s="160" t="e">
        <f>IF(A661&lt;&gt;"",IF(AND(#REF!="Padrão",$H$4=#REF!),BDI!$B$17,IF(AND(#REF!="Padrão",$H$4=#REF!),BDI!$C$17,IF(AND(#REF!="Diferenciado",$H$4=#REF!),BDI!$G$17,IF(AND(#REF!="Diferenciado",$H$4=#REF!),BDI!$H$17,IF(#REF!="ZERO",0))))),"")</f>
        <v>#REF!</v>
      </c>
      <c r="H661" s="161" t="str">
        <f t="shared" si="31"/>
        <v/>
      </c>
      <c r="I661" s="159" t="str">
        <f t="shared" si="32"/>
        <v/>
      </c>
    </row>
    <row r="662" spans="1:9" hidden="1" x14ac:dyDescent="0.25">
      <c r="A662" s="102" t="s">
        <v>3668</v>
      </c>
      <c r="B662" s="103" t="s">
        <v>3669</v>
      </c>
      <c r="C662" s="104" t="s">
        <v>32</v>
      </c>
      <c r="D662" s="104">
        <v>0</v>
      </c>
      <c r="E662" s="158" t="s">
        <v>1079</v>
      </c>
      <c r="F662" s="159" t="str">
        <f t="shared" si="30"/>
        <v/>
      </c>
      <c r="G662" s="160" t="e">
        <f>IF(A662&lt;&gt;"",IF(AND(#REF!="Padrão",$H$4=#REF!),BDI!$B$17,IF(AND(#REF!="Padrão",$H$4=#REF!),BDI!$C$17,IF(AND(#REF!="Diferenciado",$H$4=#REF!),BDI!$G$17,IF(AND(#REF!="Diferenciado",$H$4=#REF!),BDI!$H$17,IF(#REF!="ZERO",0))))),"")</f>
        <v>#REF!</v>
      </c>
      <c r="H662" s="161" t="str">
        <f t="shared" si="31"/>
        <v/>
      </c>
      <c r="I662" s="159" t="str">
        <f t="shared" si="32"/>
        <v/>
      </c>
    </row>
    <row r="663" spans="1:9" hidden="1" x14ac:dyDescent="0.25">
      <c r="A663" s="102" t="s">
        <v>3670</v>
      </c>
      <c r="B663" s="103" t="s">
        <v>3671</v>
      </c>
      <c r="C663" s="104" t="s">
        <v>32</v>
      </c>
      <c r="D663" s="104">
        <v>0</v>
      </c>
      <c r="E663" s="158" t="s">
        <v>1079</v>
      </c>
      <c r="F663" s="159" t="str">
        <f t="shared" si="30"/>
        <v/>
      </c>
      <c r="G663" s="160" t="e">
        <f>IF(A663&lt;&gt;"",IF(AND(#REF!="Padrão",$H$4=#REF!),BDI!$B$17,IF(AND(#REF!="Padrão",$H$4=#REF!),BDI!$C$17,IF(AND(#REF!="Diferenciado",$H$4=#REF!),BDI!$G$17,IF(AND(#REF!="Diferenciado",$H$4=#REF!),BDI!$H$17,IF(#REF!="ZERO",0))))),"")</f>
        <v>#REF!</v>
      </c>
      <c r="H663" s="161" t="str">
        <f t="shared" si="31"/>
        <v/>
      </c>
      <c r="I663" s="159" t="str">
        <f t="shared" si="32"/>
        <v/>
      </c>
    </row>
    <row r="664" spans="1:9" hidden="1" x14ac:dyDescent="0.25">
      <c r="A664" s="102" t="s">
        <v>3672</v>
      </c>
      <c r="B664" s="103" t="s">
        <v>3673</v>
      </c>
      <c r="C664" s="104" t="s">
        <v>32</v>
      </c>
      <c r="D664" s="104">
        <v>0</v>
      </c>
      <c r="E664" s="158" t="s">
        <v>1079</v>
      </c>
      <c r="F664" s="159" t="str">
        <f t="shared" si="30"/>
        <v/>
      </c>
      <c r="G664" s="160" t="e">
        <f>IF(A664&lt;&gt;"",IF(AND(#REF!="Padrão",$H$4=#REF!),BDI!$B$17,IF(AND(#REF!="Padrão",$H$4=#REF!),BDI!$C$17,IF(AND(#REF!="Diferenciado",$H$4=#REF!),BDI!$G$17,IF(AND(#REF!="Diferenciado",$H$4=#REF!),BDI!$H$17,IF(#REF!="ZERO",0))))),"")</f>
        <v>#REF!</v>
      </c>
      <c r="H664" s="161" t="str">
        <f t="shared" si="31"/>
        <v/>
      </c>
      <c r="I664" s="159" t="str">
        <f t="shared" si="32"/>
        <v/>
      </c>
    </row>
    <row r="665" spans="1:9" hidden="1" x14ac:dyDescent="0.25">
      <c r="A665" s="102" t="s">
        <v>3674</v>
      </c>
      <c r="B665" s="103" t="s">
        <v>3675</v>
      </c>
      <c r="C665" s="104" t="s">
        <v>32</v>
      </c>
      <c r="D665" s="104">
        <v>0</v>
      </c>
      <c r="E665" s="158" t="s">
        <v>1079</v>
      </c>
      <c r="F665" s="159" t="str">
        <f t="shared" si="30"/>
        <v/>
      </c>
      <c r="G665" s="160" t="e">
        <f>IF(A665&lt;&gt;"",IF(AND(#REF!="Padrão",$H$4=#REF!),BDI!$B$17,IF(AND(#REF!="Padrão",$H$4=#REF!),BDI!$C$17,IF(AND(#REF!="Diferenciado",$H$4=#REF!),BDI!$G$17,IF(AND(#REF!="Diferenciado",$H$4=#REF!),BDI!$H$17,IF(#REF!="ZERO",0))))),"")</f>
        <v>#REF!</v>
      </c>
      <c r="H665" s="161" t="str">
        <f t="shared" si="31"/>
        <v/>
      </c>
      <c r="I665" s="159" t="str">
        <f t="shared" si="32"/>
        <v/>
      </c>
    </row>
    <row r="666" spans="1:9" hidden="1" x14ac:dyDescent="0.25">
      <c r="A666" s="102" t="s">
        <v>3676</v>
      </c>
      <c r="B666" s="103" t="s">
        <v>3677</v>
      </c>
      <c r="C666" s="104" t="s">
        <v>32</v>
      </c>
      <c r="D666" s="104">
        <v>0</v>
      </c>
      <c r="E666" s="158" t="s">
        <v>1079</v>
      </c>
      <c r="F666" s="159" t="str">
        <f t="shared" si="30"/>
        <v/>
      </c>
      <c r="G666" s="160" t="e">
        <f>IF(A666&lt;&gt;"",IF(AND(#REF!="Padrão",$H$4=#REF!),BDI!$B$17,IF(AND(#REF!="Padrão",$H$4=#REF!),BDI!$C$17,IF(AND(#REF!="Diferenciado",$H$4=#REF!),BDI!$G$17,IF(AND(#REF!="Diferenciado",$H$4=#REF!),BDI!$H$17,IF(#REF!="ZERO",0))))),"")</f>
        <v>#REF!</v>
      </c>
      <c r="H666" s="161" t="str">
        <f t="shared" si="31"/>
        <v/>
      </c>
      <c r="I666" s="159" t="str">
        <f t="shared" si="32"/>
        <v/>
      </c>
    </row>
    <row r="667" spans="1:9" hidden="1" x14ac:dyDescent="0.25">
      <c r="A667" s="102" t="s">
        <v>3678</v>
      </c>
      <c r="B667" s="103" t="s">
        <v>3679</v>
      </c>
      <c r="C667" s="104" t="s">
        <v>32</v>
      </c>
      <c r="D667" s="104">
        <v>0</v>
      </c>
      <c r="E667" s="158" t="s">
        <v>1079</v>
      </c>
      <c r="F667" s="159" t="str">
        <f t="shared" si="30"/>
        <v/>
      </c>
      <c r="G667" s="160" t="e">
        <f>IF(A667&lt;&gt;"",IF(AND(#REF!="Padrão",$H$4=#REF!),BDI!$B$17,IF(AND(#REF!="Padrão",$H$4=#REF!),BDI!$C$17,IF(AND(#REF!="Diferenciado",$H$4=#REF!),BDI!$G$17,IF(AND(#REF!="Diferenciado",$H$4=#REF!),BDI!$H$17,IF(#REF!="ZERO",0))))),"")</f>
        <v>#REF!</v>
      </c>
      <c r="H667" s="161" t="str">
        <f t="shared" si="31"/>
        <v/>
      </c>
      <c r="I667" s="159" t="str">
        <f t="shared" si="32"/>
        <v/>
      </c>
    </row>
    <row r="668" spans="1:9" hidden="1" x14ac:dyDescent="0.25">
      <c r="A668" s="102" t="s">
        <v>3680</v>
      </c>
      <c r="B668" s="103" t="s">
        <v>3681</v>
      </c>
      <c r="C668" s="104" t="s">
        <v>32</v>
      </c>
      <c r="D668" s="104">
        <v>0</v>
      </c>
      <c r="E668" s="158" t="s">
        <v>1079</v>
      </c>
      <c r="F668" s="159" t="str">
        <f t="shared" si="30"/>
        <v/>
      </c>
      <c r="G668" s="160" t="e">
        <f>IF(A668&lt;&gt;"",IF(AND(#REF!="Padrão",$H$4=#REF!),BDI!$B$17,IF(AND(#REF!="Padrão",$H$4=#REF!),BDI!$C$17,IF(AND(#REF!="Diferenciado",$H$4=#REF!),BDI!$G$17,IF(AND(#REF!="Diferenciado",$H$4=#REF!),BDI!$H$17,IF(#REF!="ZERO",0))))),"")</f>
        <v>#REF!</v>
      </c>
      <c r="H668" s="161" t="str">
        <f t="shared" si="31"/>
        <v/>
      </c>
      <c r="I668" s="159" t="str">
        <f t="shared" si="32"/>
        <v/>
      </c>
    </row>
    <row r="669" spans="1:9" hidden="1" x14ac:dyDescent="0.25">
      <c r="A669" s="102" t="s">
        <v>3682</v>
      </c>
      <c r="B669" s="103" t="s">
        <v>3683</v>
      </c>
      <c r="C669" s="104" t="s">
        <v>32</v>
      </c>
      <c r="D669" s="104">
        <v>0</v>
      </c>
      <c r="E669" s="158" t="s">
        <v>1079</v>
      </c>
      <c r="F669" s="159" t="str">
        <f t="shared" si="30"/>
        <v/>
      </c>
      <c r="G669" s="160" t="e">
        <f>IF(A669&lt;&gt;"",IF(AND(#REF!="Padrão",$H$4=#REF!),BDI!$B$17,IF(AND(#REF!="Padrão",$H$4=#REF!),BDI!$C$17,IF(AND(#REF!="Diferenciado",$H$4=#REF!),BDI!$G$17,IF(AND(#REF!="Diferenciado",$H$4=#REF!),BDI!$H$17,IF(#REF!="ZERO",0))))),"")</f>
        <v>#REF!</v>
      </c>
      <c r="H669" s="161" t="str">
        <f t="shared" si="31"/>
        <v/>
      </c>
      <c r="I669" s="159" t="str">
        <f t="shared" si="32"/>
        <v/>
      </c>
    </row>
    <row r="670" spans="1:9" hidden="1" x14ac:dyDescent="0.25">
      <c r="A670" s="102" t="s">
        <v>3684</v>
      </c>
      <c r="B670" s="103" t="s">
        <v>3685</v>
      </c>
      <c r="C670" s="104" t="s">
        <v>32</v>
      </c>
      <c r="D670" s="104">
        <v>0</v>
      </c>
      <c r="E670" s="158" t="s">
        <v>1079</v>
      </c>
      <c r="F670" s="159" t="str">
        <f t="shared" si="30"/>
        <v/>
      </c>
      <c r="G670" s="160" t="e">
        <f>IF(A670&lt;&gt;"",IF(AND(#REF!="Padrão",$H$4=#REF!),BDI!$B$17,IF(AND(#REF!="Padrão",$H$4=#REF!),BDI!$C$17,IF(AND(#REF!="Diferenciado",$H$4=#REF!),BDI!$G$17,IF(AND(#REF!="Diferenciado",$H$4=#REF!),BDI!$H$17,IF(#REF!="ZERO",0))))),"")</f>
        <v>#REF!</v>
      </c>
      <c r="H670" s="161" t="str">
        <f t="shared" si="31"/>
        <v/>
      </c>
      <c r="I670" s="159" t="str">
        <f t="shared" si="32"/>
        <v/>
      </c>
    </row>
    <row r="671" spans="1:9" hidden="1" x14ac:dyDescent="0.25">
      <c r="A671" s="102" t="s">
        <v>3686</v>
      </c>
      <c r="B671" s="103" t="s">
        <v>3687</v>
      </c>
      <c r="C671" s="104" t="s">
        <v>3133</v>
      </c>
      <c r="D671" s="104">
        <v>0</v>
      </c>
      <c r="E671" s="158" t="s">
        <v>1079</v>
      </c>
      <c r="F671" s="159" t="str">
        <f t="shared" si="30"/>
        <v/>
      </c>
      <c r="G671" s="160" t="e">
        <f>IF(A671&lt;&gt;"",IF(AND(#REF!="Padrão",$H$4=#REF!),BDI!$B$17,IF(AND(#REF!="Padrão",$H$4=#REF!),BDI!$C$17,IF(AND(#REF!="Diferenciado",$H$4=#REF!),BDI!$G$17,IF(AND(#REF!="Diferenciado",$H$4=#REF!),BDI!$H$17,IF(#REF!="ZERO",0))))),"")</f>
        <v>#REF!</v>
      </c>
      <c r="H671" s="161" t="str">
        <f t="shared" si="31"/>
        <v/>
      </c>
      <c r="I671" s="159" t="str">
        <f t="shared" si="32"/>
        <v/>
      </c>
    </row>
    <row r="672" spans="1:9" hidden="1" x14ac:dyDescent="0.25">
      <c r="A672" s="102" t="s">
        <v>3688</v>
      </c>
      <c r="B672" s="103" t="s">
        <v>3689</v>
      </c>
      <c r="C672" s="104" t="s">
        <v>32</v>
      </c>
      <c r="D672" s="104">
        <v>0</v>
      </c>
      <c r="E672" s="158" t="s">
        <v>1079</v>
      </c>
      <c r="F672" s="159" t="str">
        <f t="shared" si="30"/>
        <v/>
      </c>
      <c r="G672" s="160" t="e">
        <f>IF(A672&lt;&gt;"",IF(AND(#REF!="Padrão",$H$4=#REF!),BDI!$B$17,IF(AND(#REF!="Padrão",$H$4=#REF!),BDI!$C$17,IF(AND(#REF!="Diferenciado",$H$4=#REF!),BDI!$G$17,IF(AND(#REF!="Diferenciado",$H$4=#REF!),BDI!$H$17,IF(#REF!="ZERO",0))))),"")</f>
        <v>#REF!</v>
      </c>
      <c r="H672" s="161" t="str">
        <f t="shared" si="31"/>
        <v/>
      </c>
      <c r="I672" s="159" t="str">
        <f t="shared" si="32"/>
        <v/>
      </c>
    </row>
    <row r="673" spans="1:9" hidden="1" x14ac:dyDescent="0.25">
      <c r="A673" s="102" t="s">
        <v>3690</v>
      </c>
      <c r="B673" s="103" t="s">
        <v>3691</v>
      </c>
      <c r="C673" s="104" t="s">
        <v>32</v>
      </c>
      <c r="D673" s="104">
        <v>0</v>
      </c>
      <c r="E673" s="158" t="s">
        <v>1079</v>
      </c>
      <c r="F673" s="159" t="str">
        <f t="shared" si="30"/>
        <v/>
      </c>
      <c r="G673" s="160" t="e">
        <f>IF(A673&lt;&gt;"",IF(AND(#REF!="Padrão",$H$4=#REF!),BDI!$B$17,IF(AND(#REF!="Padrão",$H$4=#REF!),BDI!$C$17,IF(AND(#REF!="Diferenciado",$H$4=#REF!),BDI!$G$17,IF(AND(#REF!="Diferenciado",$H$4=#REF!),BDI!$H$17,IF(#REF!="ZERO",0))))),"")</f>
        <v>#REF!</v>
      </c>
      <c r="H673" s="161" t="str">
        <f t="shared" si="31"/>
        <v/>
      </c>
      <c r="I673" s="159" t="str">
        <f t="shared" si="32"/>
        <v/>
      </c>
    </row>
    <row r="674" spans="1:9" hidden="1" x14ac:dyDescent="0.25">
      <c r="A674" s="102" t="s">
        <v>3692</v>
      </c>
      <c r="B674" s="103" t="s">
        <v>3693</v>
      </c>
      <c r="C674" s="104" t="s">
        <v>32</v>
      </c>
      <c r="D674" s="104">
        <v>0</v>
      </c>
      <c r="E674" s="158" t="s">
        <v>1079</v>
      </c>
      <c r="F674" s="159" t="str">
        <f t="shared" si="30"/>
        <v/>
      </c>
      <c r="G674" s="160" t="e">
        <f>IF(A674&lt;&gt;"",IF(AND(#REF!="Padrão",$H$4=#REF!),BDI!$B$17,IF(AND(#REF!="Padrão",$H$4=#REF!),BDI!$C$17,IF(AND(#REF!="Diferenciado",$H$4=#REF!),BDI!$G$17,IF(AND(#REF!="Diferenciado",$H$4=#REF!),BDI!$H$17,IF(#REF!="ZERO",0))))),"")</f>
        <v>#REF!</v>
      </c>
      <c r="H674" s="161" t="str">
        <f t="shared" si="31"/>
        <v/>
      </c>
      <c r="I674" s="159" t="str">
        <f t="shared" si="32"/>
        <v/>
      </c>
    </row>
    <row r="675" spans="1:9" hidden="1" x14ac:dyDescent="0.25">
      <c r="A675" s="102" t="s">
        <v>3694</v>
      </c>
      <c r="B675" s="103" t="s">
        <v>3695</v>
      </c>
      <c r="C675" s="104" t="s">
        <v>32</v>
      </c>
      <c r="D675" s="104">
        <v>0</v>
      </c>
      <c r="E675" s="158" t="s">
        <v>1079</v>
      </c>
      <c r="F675" s="159" t="str">
        <f t="shared" si="30"/>
        <v/>
      </c>
      <c r="G675" s="160" t="e">
        <f>IF(A675&lt;&gt;"",IF(AND(#REF!="Padrão",$H$4=#REF!),BDI!$B$17,IF(AND(#REF!="Padrão",$H$4=#REF!),BDI!$C$17,IF(AND(#REF!="Diferenciado",$H$4=#REF!),BDI!$G$17,IF(AND(#REF!="Diferenciado",$H$4=#REF!),BDI!$H$17,IF(#REF!="ZERO",0))))),"")</f>
        <v>#REF!</v>
      </c>
      <c r="H675" s="161" t="str">
        <f t="shared" si="31"/>
        <v/>
      </c>
      <c r="I675" s="159" t="str">
        <f t="shared" si="32"/>
        <v/>
      </c>
    </row>
    <row r="676" spans="1:9" hidden="1" x14ac:dyDescent="0.25">
      <c r="A676" s="102" t="s">
        <v>3696</v>
      </c>
      <c r="B676" s="103" t="s">
        <v>3697</v>
      </c>
      <c r="C676" s="104" t="s">
        <v>32</v>
      </c>
      <c r="D676" s="104">
        <v>0</v>
      </c>
      <c r="E676" s="158" t="s">
        <v>1079</v>
      </c>
      <c r="F676" s="159" t="str">
        <f t="shared" si="30"/>
        <v/>
      </c>
      <c r="G676" s="160" t="e">
        <f>IF(A676&lt;&gt;"",IF(AND(#REF!="Padrão",$H$4=#REF!),BDI!$B$17,IF(AND(#REF!="Padrão",$H$4=#REF!),BDI!$C$17,IF(AND(#REF!="Diferenciado",$H$4=#REF!),BDI!$G$17,IF(AND(#REF!="Diferenciado",$H$4=#REF!),BDI!$H$17,IF(#REF!="ZERO",0))))),"")</f>
        <v>#REF!</v>
      </c>
      <c r="H676" s="161" t="str">
        <f t="shared" si="31"/>
        <v/>
      </c>
      <c r="I676" s="159" t="str">
        <f t="shared" si="32"/>
        <v/>
      </c>
    </row>
    <row r="677" spans="1:9" hidden="1" x14ac:dyDescent="0.25">
      <c r="A677" s="102" t="s">
        <v>3698</v>
      </c>
      <c r="B677" s="103" t="s">
        <v>3699</v>
      </c>
      <c r="C677" s="104" t="s">
        <v>32</v>
      </c>
      <c r="D677" s="104">
        <v>0</v>
      </c>
      <c r="E677" s="158" t="s">
        <v>1079</v>
      </c>
      <c r="F677" s="159" t="str">
        <f t="shared" si="30"/>
        <v/>
      </c>
      <c r="G677" s="160" t="e">
        <f>IF(A677&lt;&gt;"",IF(AND(#REF!="Padrão",$H$4=#REF!),BDI!$B$17,IF(AND(#REF!="Padrão",$H$4=#REF!),BDI!$C$17,IF(AND(#REF!="Diferenciado",$H$4=#REF!),BDI!$G$17,IF(AND(#REF!="Diferenciado",$H$4=#REF!),BDI!$H$17,IF(#REF!="ZERO",0))))),"")</f>
        <v>#REF!</v>
      </c>
      <c r="H677" s="161" t="str">
        <f t="shared" si="31"/>
        <v/>
      </c>
      <c r="I677" s="159" t="str">
        <f t="shared" si="32"/>
        <v/>
      </c>
    </row>
    <row r="678" spans="1:9" hidden="1" x14ac:dyDescent="0.25">
      <c r="A678" s="102" t="s">
        <v>3700</v>
      </c>
      <c r="B678" s="103" t="s">
        <v>3701</v>
      </c>
      <c r="C678" s="104" t="s">
        <v>32</v>
      </c>
      <c r="D678" s="104">
        <v>0</v>
      </c>
      <c r="E678" s="158" t="s">
        <v>1079</v>
      </c>
      <c r="F678" s="159" t="str">
        <f t="shared" si="30"/>
        <v/>
      </c>
      <c r="G678" s="160" t="e">
        <f>IF(A678&lt;&gt;"",IF(AND(#REF!="Padrão",$H$4=#REF!),BDI!$B$17,IF(AND(#REF!="Padrão",$H$4=#REF!),BDI!$C$17,IF(AND(#REF!="Diferenciado",$H$4=#REF!),BDI!$G$17,IF(AND(#REF!="Diferenciado",$H$4=#REF!),BDI!$H$17,IF(#REF!="ZERO",0))))),"")</f>
        <v>#REF!</v>
      </c>
      <c r="H678" s="161" t="str">
        <f t="shared" si="31"/>
        <v/>
      </c>
      <c r="I678" s="159" t="str">
        <f t="shared" si="32"/>
        <v/>
      </c>
    </row>
    <row r="679" spans="1:9" hidden="1" x14ac:dyDescent="0.25">
      <c r="A679" s="102" t="s">
        <v>3702</v>
      </c>
      <c r="B679" s="103" t="s">
        <v>3703</v>
      </c>
      <c r="C679" s="104" t="s">
        <v>32</v>
      </c>
      <c r="D679" s="104">
        <v>0</v>
      </c>
      <c r="E679" s="158" t="s">
        <v>1079</v>
      </c>
      <c r="F679" s="159" t="str">
        <f t="shared" si="30"/>
        <v/>
      </c>
      <c r="G679" s="160" t="e">
        <f>IF(A679&lt;&gt;"",IF(AND(#REF!="Padrão",$H$4=#REF!),BDI!$B$17,IF(AND(#REF!="Padrão",$H$4=#REF!),BDI!$C$17,IF(AND(#REF!="Diferenciado",$H$4=#REF!),BDI!$G$17,IF(AND(#REF!="Diferenciado",$H$4=#REF!),BDI!$H$17,IF(#REF!="ZERO",0))))),"")</f>
        <v>#REF!</v>
      </c>
      <c r="H679" s="161" t="str">
        <f t="shared" si="31"/>
        <v/>
      </c>
      <c r="I679" s="159" t="str">
        <f t="shared" si="32"/>
        <v/>
      </c>
    </row>
    <row r="680" spans="1:9" hidden="1" x14ac:dyDescent="0.25">
      <c r="A680" s="102" t="s">
        <v>3704</v>
      </c>
      <c r="B680" s="103" t="s">
        <v>3705</v>
      </c>
      <c r="C680" s="104" t="s">
        <v>32</v>
      </c>
      <c r="D680" s="104">
        <v>0</v>
      </c>
      <c r="E680" s="158" t="s">
        <v>1079</v>
      </c>
      <c r="F680" s="159" t="str">
        <f t="shared" si="30"/>
        <v/>
      </c>
      <c r="G680" s="160" t="e">
        <f>IF(A680&lt;&gt;"",IF(AND(#REF!="Padrão",$H$4=#REF!),BDI!$B$17,IF(AND(#REF!="Padrão",$H$4=#REF!),BDI!$C$17,IF(AND(#REF!="Diferenciado",$H$4=#REF!),BDI!$G$17,IF(AND(#REF!="Diferenciado",$H$4=#REF!),BDI!$H$17,IF(#REF!="ZERO",0))))),"")</f>
        <v>#REF!</v>
      </c>
      <c r="H680" s="161" t="str">
        <f t="shared" si="31"/>
        <v/>
      </c>
      <c r="I680" s="159" t="str">
        <f t="shared" si="32"/>
        <v/>
      </c>
    </row>
    <row r="681" spans="1:9" hidden="1" x14ac:dyDescent="0.25">
      <c r="A681" s="102" t="s">
        <v>3706</v>
      </c>
      <c r="B681" s="103" t="s">
        <v>3707</v>
      </c>
      <c r="C681" s="104" t="s">
        <v>32</v>
      </c>
      <c r="D681" s="104">
        <v>0</v>
      </c>
      <c r="E681" s="158" t="s">
        <v>1079</v>
      </c>
      <c r="F681" s="159" t="str">
        <f t="shared" si="30"/>
        <v/>
      </c>
      <c r="G681" s="160" t="e">
        <f>IF(A681&lt;&gt;"",IF(AND(#REF!="Padrão",$H$4=#REF!),BDI!$B$17,IF(AND(#REF!="Padrão",$H$4=#REF!),BDI!$C$17,IF(AND(#REF!="Diferenciado",$H$4=#REF!),BDI!$G$17,IF(AND(#REF!="Diferenciado",$H$4=#REF!),BDI!$H$17,IF(#REF!="ZERO",0))))),"")</f>
        <v>#REF!</v>
      </c>
      <c r="H681" s="161" t="str">
        <f t="shared" si="31"/>
        <v/>
      </c>
      <c r="I681" s="159" t="str">
        <f t="shared" si="32"/>
        <v/>
      </c>
    </row>
    <row r="682" spans="1:9" hidden="1" x14ac:dyDescent="0.25">
      <c r="A682" s="102" t="s">
        <v>3708</v>
      </c>
      <c r="B682" s="103" t="s">
        <v>3709</v>
      </c>
      <c r="C682" s="104" t="s">
        <v>32</v>
      </c>
      <c r="D682" s="104">
        <v>0</v>
      </c>
      <c r="E682" s="158" t="s">
        <v>1079</v>
      </c>
      <c r="F682" s="159" t="str">
        <f t="shared" si="30"/>
        <v/>
      </c>
      <c r="G682" s="160" t="e">
        <f>IF(A682&lt;&gt;"",IF(AND(#REF!="Padrão",$H$4=#REF!),BDI!$B$17,IF(AND(#REF!="Padrão",$H$4=#REF!),BDI!$C$17,IF(AND(#REF!="Diferenciado",$H$4=#REF!),BDI!$G$17,IF(AND(#REF!="Diferenciado",$H$4=#REF!),BDI!$H$17,IF(#REF!="ZERO",0))))),"")</f>
        <v>#REF!</v>
      </c>
      <c r="H682" s="161" t="str">
        <f t="shared" si="31"/>
        <v/>
      </c>
      <c r="I682" s="159" t="str">
        <f t="shared" si="32"/>
        <v/>
      </c>
    </row>
    <row r="683" spans="1:9" hidden="1" x14ac:dyDescent="0.25">
      <c r="A683" s="102" t="s">
        <v>3710</v>
      </c>
      <c r="B683" s="103" t="s">
        <v>3711</v>
      </c>
      <c r="C683" s="104" t="s">
        <v>32</v>
      </c>
      <c r="D683" s="104">
        <v>0</v>
      </c>
      <c r="E683" s="158" t="s">
        <v>1079</v>
      </c>
      <c r="F683" s="159" t="str">
        <f t="shared" si="30"/>
        <v/>
      </c>
      <c r="G683" s="160" t="e">
        <f>IF(A683&lt;&gt;"",IF(AND(#REF!="Padrão",$H$4=#REF!),BDI!$B$17,IF(AND(#REF!="Padrão",$H$4=#REF!),BDI!$C$17,IF(AND(#REF!="Diferenciado",$H$4=#REF!),BDI!$G$17,IF(AND(#REF!="Diferenciado",$H$4=#REF!),BDI!$H$17,IF(#REF!="ZERO",0))))),"")</f>
        <v>#REF!</v>
      </c>
      <c r="H683" s="161" t="str">
        <f t="shared" si="31"/>
        <v/>
      </c>
      <c r="I683" s="159" t="str">
        <f t="shared" si="32"/>
        <v/>
      </c>
    </row>
    <row r="684" spans="1:9" hidden="1" x14ac:dyDescent="0.25">
      <c r="A684" s="102" t="s">
        <v>3712</v>
      </c>
      <c r="B684" s="103" t="s">
        <v>3713</v>
      </c>
      <c r="C684" s="104" t="s">
        <v>32</v>
      </c>
      <c r="D684" s="104">
        <v>0</v>
      </c>
      <c r="E684" s="158" t="s">
        <v>1079</v>
      </c>
      <c r="F684" s="159" t="str">
        <f t="shared" si="30"/>
        <v/>
      </c>
      <c r="G684" s="160" t="e">
        <f>IF(A684&lt;&gt;"",IF(AND(#REF!="Padrão",$H$4=#REF!),BDI!$B$17,IF(AND(#REF!="Padrão",$H$4=#REF!),BDI!$C$17,IF(AND(#REF!="Diferenciado",$H$4=#REF!),BDI!$G$17,IF(AND(#REF!="Diferenciado",$H$4=#REF!),BDI!$H$17,IF(#REF!="ZERO",0))))),"")</f>
        <v>#REF!</v>
      </c>
      <c r="H684" s="161" t="str">
        <f t="shared" si="31"/>
        <v/>
      </c>
      <c r="I684" s="159" t="str">
        <f t="shared" si="32"/>
        <v/>
      </c>
    </row>
    <row r="685" spans="1:9" hidden="1" x14ac:dyDescent="0.25">
      <c r="A685" s="102" t="s">
        <v>3714</v>
      </c>
      <c r="B685" s="103" t="s">
        <v>3715</v>
      </c>
      <c r="C685" s="104" t="s">
        <v>32</v>
      </c>
      <c r="D685" s="104">
        <v>0</v>
      </c>
      <c r="E685" s="158" t="s">
        <v>1079</v>
      </c>
      <c r="F685" s="159" t="str">
        <f t="shared" si="30"/>
        <v/>
      </c>
      <c r="G685" s="160" t="e">
        <f>IF(A685&lt;&gt;"",IF(AND(#REF!="Padrão",$H$4=#REF!),BDI!$B$17,IF(AND(#REF!="Padrão",$H$4=#REF!),BDI!$C$17,IF(AND(#REF!="Diferenciado",$H$4=#REF!),BDI!$G$17,IF(AND(#REF!="Diferenciado",$H$4=#REF!),BDI!$H$17,IF(#REF!="ZERO",0))))),"")</f>
        <v>#REF!</v>
      </c>
      <c r="H685" s="161" t="str">
        <f t="shared" si="31"/>
        <v/>
      </c>
      <c r="I685" s="159" t="str">
        <f t="shared" si="32"/>
        <v/>
      </c>
    </row>
    <row r="686" spans="1:9" hidden="1" x14ac:dyDescent="0.25">
      <c r="A686" s="102" t="s">
        <v>3716</v>
      </c>
      <c r="B686" s="103" t="s">
        <v>3717</v>
      </c>
      <c r="C686" s="104" t="s">
        <v>32</v>
      </c>
      <c r="D686" s="104">
        <v>0</v>
      </c>
      <c r="E686" s="158" t="s">
        <v>1079</v>
      </c>
      <c r="F686" s="159" t="str">
        <f t="shared" si="30"/>
        <v/>
      </c>
      <c r="G686" s="160" t="e">
        <f>IF(A686&lt;&gt;"",IF(AND(#REF!="Padrão",$H$4=#REF!),BDI!$B$17,IF(AND(#REF!="Padrão",$H$4=#REF!),BDI!$C$17,IF(AND(#REF!="Diferenciado",$H$4=#REF!),BDI!$G$17,IF(AND(#REF!="Diferenciado",$H$4=#REF!),BDI!$H$17,IF(#REF!="ZERO",0))))),"")</f>
        <v>#REF!</v>
      </c>
      <c r="H686" s="161" t="str">
        <f t="shared" si="31"/>
        <v/>
      </c>
      <c r="I686" s="159" t="str">
        <f t="shared" si="32"/>
        <v/>
      </c>
    </row>
    <row r="687" spans="1:9" hidden="1" x14ac:dyDescent="0.25">
      <c r="A687" s="102" t="s">
        <v>3718</v>
      </c>
      <c r="B687" s="103" t="s">
        <v>3719</v>
      </c>
      <c r="C687" s="104" t="s">
        <v>32</v>
      </c>
      <c r="D687" s="104">
        <v>0</v>
      </c>
      <c r="E687" s="158" t="s">
        <v>1079</v>
      </c>
      <c r="F687" s="159" t="str">
        <f t="shared" si="30"/>
        <v/>
      </c>
      <c r="G687" s="160" t="e">
        <f>IF(A687&lt;&gt;"",IF(AND(#REF!="Padrão",$H$4=#REF!),BDI!$B$17,IF(AND(#REF!="Padrão",$H$4=#REF!),BDI!$C$17,IF(AND(#REF!="Diferenciado",$H$4=#REF!),BDI!$G$17,IF(AND(#REF!="Diferenciado",$H$4=#REF!),BDI!$H$17,IF(#REF!="ZERO",0))))),"")</f>
        <v>#REF!</v>
      </c>
      <c r="H687" s="161" t="str">
        <f t="shared" si="31"/>
        <v/>
      </c>
      <c r="I687" s="159" t="str">
        <f t="shared" si="32"/>
        <v/>
      </c>
    </row>
    <row r="688" spans="1:9" hidden="1" x14ac:dyDescent="0.25">
      <c r="A688" s="102" t="s">
        <v>3720</v>
      </c>
      <c r="B688" s="103" t="s">
        <v>3721</v>
      </c>
      <c r="C688" s="104" t="s">
        <v>32</v>
      </c>
      <c r="D688" s="104">
        <v>0</v>
      </c>
      <c r="E688" s="158" t="s">
        <v>1079</v>
      </c>
      <c r="F688" s="159" t="str">
        <f t="shared" si="30"/>
        <v/>
      </c>
      <c r="G688" s="160" t="e">
        <f>IF(A688&lt;&gt;"",IF(AND(#REF!="Padrão",$H$4=#REF!),BDI!$B$17,IF(AND(#REF!="Padrão",$H$4=#REF!),BDI!$C$17,IF(AND(#REF!="Diferenciado",$H$4=#REF!),BDI!$G$17,IF(AND(#REF!="Diferenciado",$H$4=#REF!),BDI!$H$17,IF(#REF!="ZERO",0))))),"")</f>
        <v>#REF!</v>
      </c>
      <c r="H688" s="161" t="str">
        <f t="shared" si="31"/>
        <v/>
      </c>
      <c r="I688" s="159" t="str">
        <f t="shared" si="32"/>
        <v/>
      </c>
    </row>
    <row r="689" spans="1:9" hidden="1" x14ac:dyDescent="0.25">
      <c r="A689" s="102" t="s">
        <v>3722</v>
      </c>
      <c r="B689" s="103" t="s">
        <v>3723</v>
      </c>
      <c r="C689" s="104" t="s">
        <v>32</v>
      </c>
      <c r="D689" s="104">
        <v>0</v>
      </c>
      <c r="E689" s="158" t="s">
        <v>1079</v>
      </c>
      <c r="F689" s="159" t="str">
        <f t="shared" si="30"/>
        <v/>
      </c>
      <c r="G689" s="160" t="e">
        <f>IF(A689&lt;&gt;"",IF(AND(#REF!="Padrão",$H$4=#REF!),BDI!$B$17,IF(AND(#REF!="Padrão",$H$4=#REF!),BDI!$C$17,IF(AND(#REF!="Diferenciado",$H$4=#REF!),BDI!$G$17,IF(AND(#REF!="Diferenciado",$H$4=#REF!),BDI!$H$17,IF(#REF!="ZERO",0))))),"")</f>
        <v>#REF!</v>
      </c>
      <c r="H689" s="161" t="str">
        <f t="shared" si="31"/>
        <v/>
      </c>
      <c r="I689" s="159" t="str">
        <f t="shared" si="32"/>
        <v/>
      </c>
    </row>
    <row r="690" spans="1:9" hidden="1" x14ac:dyDescent="0.25">
      <c r="A690" s="102" t="s">
        <v>3724</v>
      </c>
      <c r="B690" s="103" t="s">
        <v>3725</v>
      </c>
      <c r="C690" s="104" t="s">
        <v>32</v>
      </c>
      <c r="D690" s="104">
        <v>0</v>
      </c>
      <c r="E690" s="158" t="s">
        <v>1079</v>
      </c>
      <c r="F690" s="159" t="str">
        <f t="shared" si="30"/>
        <v/>
      </c>
      <c r="G690" s="160" t="e">
        <f>IF(A690&lt;&gt;"",IF(AND(#REF!="Padrão",$H$4=#REF!),BDI!$B$17,IF(AND(#REF!="Padrão",$H$4=#REF!),BDI!$C$17,IF(AND(#REF!="Diferenciado",$H$4=#REF!),BDI!$G$17,IF(AND(#REF!="Diferenciado",$H$4=#REF!),BDI!$H$17,IF(#REF!="ZERO",0))))),"")</f>
        <v>#REF!</v>
      </c>
      <c r="H690" s="161" t="str">
        <f t="shared" si="31"/>
        <v/>
      </c>
      <c r="I690" s="159" t="str">
        <f t="shared" si="32"/>
        <v/>
      </c>
    </row>
    <row r="691" spans="1:9" hidden="1" x14ac:dyDescent="0.25">
      <c r="A691" s="102" t="s">
        <v>3726</v>
      </c>
      <c r="B691" s="103" t="s">
        <v>3727</v>
      </c>
      <c r="C691" s="104" t="s">
        <v>32</v>
      </c>
      <c r="D691" s="104">
        <v>0</v>
      </c>
      <c r="E691" s="158" t="s">
        <v>1079</v>
      </c>
      <c r="F691" s="159" t="str">
        <f t="shared" si="30"/>
        <v/>
      </c>
      <c r="G691" s="160" t="e">
        <f>IF(A691&lt;&gt;"",IF(AND(#REF!="Padrão",$H$4=#REF!),BDI!$B$17,IF(AND(#REF!="Padrão",$H$4=#REF!),BDI!$C$17,IF(AND(#REF!="Diferenciado",$H$4=#REF!),BDI!$G$17,IF(AND(#REF!="Diferenciado",$H$4=#REF!),BDI!$H$17,IF(#REF!="ZERO",0))))),"")</f>
        <v>#REF!</v>
      </c>
      <c r="H691" s="161" t="str">
        <f t="shared" si="31"/>
        <v/>
      </c>
      <c r="I691" s="159" t="str">
        <f t="shared" si="32"/>
        <v/>
      </c>
    </row>
    <row r="692" spans="1:9" hidden="1" x14ac:dyDescent="0.25">
      <c r="A692" s="102" t="s">
        <v>3728</v>
      </c>
      <c r="B692" s="103" t="s">
        <v>3729</v>
      </c>
      <c r="C692" s="104" t="s">
        <v>32</v>
      </c>
      <c r="D692" s="104">
        <v>0</v>
      </c>
      <c r="E692" s="158" t="s">
        <v>1079</v>
      </c>
      <c r="F692" s="159" t="str">
        <f t="shared" si="30"/>
        <v/>
      </c>
      <c r="G692" s="160" t="e">
        <f>IF(A692&lt;&gt;"",IF(AND(#REF!="Padrão",$H$4=#REF!),BDI!$B$17,IF(AND(#REF!="Padrão",$H$4=#REF!),BDI!$C$17,IF(AND(#REF!="Diferenciado",$H$4=#REF!),BDI!$G$17,IF(AND(#REF!="Diferenciado",$H$4=#REF!),BDI!$H$17,IF(#REF!="ZERO",0))))),"")</f>
        <v>#REF!</v>
      </c>
      <c r="H692" s="161" t="str">
        <f t="shared" si="31"/>
        <v/>
      </c>
      <c r="I692" s="159" t="str">
        <f t="shared" si="32"/>
        <v/>
      </c>
    </row>
    <row r="693" spans="1:9" hidden="1" x14ac:dyDescent="0.25">
      <c r="A693" s="102" t="s">
        <v>3730</v>
      </c>
      <c r="B693" s="103" t="s">
        <v>3731</v>
      </c>
      <c r="C693" s="104" t="s">
        <v>32</v>
      </c>
      <c r="D693" s="104">
        <v>0</v>
      </c>
      <c r="E693" s="158" t="s">
        <v>1079</v>
      </c>
      <c r="F693" s="159" t="str">
        <f t="shared" si="30"/>
        <v/>
      </c>
      <c r="G693" s="160" t="e">
        <f>IF(A693&lt;&gt;"",IF(AND(#REF!="Padrão",$H$4=#REF!),BDI!$B$17,IF(AND(#REF!="Padrão",$H$4=#REF!),BDI!$C$17,IF(AND(#REF!="Diferenciado",$H$4=#REF!),BDI!$G$17,IF(AND(#REF!="Diferenciado",$H$4=#REF!),BDI!$H$17,IF(#REF!="ZERO",0))))),"")</f>
        <v>#REF!</v>
      </c>
      <c r="H693" s="161" t="str">
        <f t="shared" si="31"/>
        <v/>
      </c>
      <c r="I693" s="159" t="str">
        <f t="shared" si="32"/>
        <v/>
      </c>
    </row>
    <row r="694" spans="1:9" hidden="1" x14ac:dyDescent="0.25">
      <c r="A694" s="102" t="s">
        <v>3732</v>
      </c>
      <c r="B694" s="103" t="s">
        <v>3733</v>
      </c>
      <c r="C694" s="104" t="s">
        <v>32</v>
      </c>
      <c r="D694" s="104">
        <v>0</v>
      </c>
      <c r="E694" s="158" t="s">
        <v>1079</v>
      </c>
      <c r="F694" s="159" t="str">
        <f t="shared" si="30"/>
        <v/>
      </c>
      <c r="G694" s="160" t="e">
        <f>IF(A694&lt;&gt;"",IF(AND(#REF!="Padrão",$H$4=#REF!),BDI!$B$17,IF(AND(#REF!="Padrão",$H$4=#REF!),BDI!$C$17,IF(AND(#REF!="Diferenciado",$H$4=#REF!),BDI!$G$17,IF(AND(#REF!="Diferenciado",$H$4=#REF!),BDI!$H$17,IF(#REF!="ZERO",0))))),"")</f>
        <v>#REF!</v>
      </c>
      <c r="H694" s="161" t="str">
        <f t="shared" si="31"/>
        <v/>
      </c>
      <c r="I694" s="159" t="str">
        <f t="shared" si="32"/>
        <v/>
      </c>
    </row>
    <row r="695" spans="1:9" hidden="1" x14ac:dyDescent="0.25">
      <c r="A695" s="102" t="s">
        <v>3734</v>
      </c>
      <c r="B695" s="103" t="s">
        <v>3735</v>
      </c>
      <c r="C695" s="104" t="s">
        <v>32</v>
      </c>
      <c r="D695" s="104">
        <v>0</v>
      </c>
      <c r="E695" s="158" t="s">
        <v>1079</v>
      </c>
      <c r="F695" s="159" t="str">
        <f t="shared" si="30"/>
        <v/>
      </c>
      <c r="G695" s="160" t="e">
        <f>IF(A695&lt;&gt;"",IF(AND(#REF!="Padrão",$H$4=#REF!),BDI!$B$17,IF(AND(#REF!="Padrão",$H$4=#REF!),BDI!$C$17,IF(AND(#REF!="Diferenciado",$H$4=#REF!),BDI!$G$17,IF(AND(#REF!="Diferenciado",$H$4=#REF!),BDI!$H$17,IF(#REF!="ZERO",0))))),"")</f>
        <v>#REF!</v>
      </c>
      <c r="H695" s="161" t="str">
        <f t="shared" si="31"/>
        <v/>
      </c>
      <c r="I695" s="159" t="str">
        <f t="shared" si="32"/>
        <v/>
      </c>
    </row>
    <row r="696" spans="1:9" hidden="1" x14ac:dyDescent="0.25">
      <c r="A696" s="102" t="s">
        <v>3736</v>
      </c>
      <c r="B696" s="103" t="s">
        <v>3737</v>
      </c>
      <c r="C696" s="104" t="s">
        <v>32</v>
      </c>
      <c r="D696" s="104">
        <v>0</v>
      </c>
      <c r="E696" s="158" t="s">
        <v>1079</v>
      </c>
      <c r="F696" s="159" t="str">
        <f t="shared" si="30"/>
        <v/>
      </c>
      <c r="G696" s="160" t="e">
        <f>IF(A696&lt;&gt;"",IF(AND(#REF!="Padrão",$H$4=#REF!),BDI!$B$17,IF(AND(#REF!="Padrão",$H$4=#REF!),BDI!$C$17,IF(AND(#REF!="Diferenciado",$H$4=#REF!),BDI!$G$17,IF(AND(#REF!="Diferenciado",$H$4=#REF!),BDI!$H$17,IF(#REF!="ZERO",0))))),"")</f>
        <v>#REF!</v>
      </c>
      <c r="H696" s="161" t="str">
        <f t="shared" si="31"/>
        <v/>
      </c>
      <c r="I696" s="159" t="str">
        <f t="shared" si="32"/>
        <v/>
      </c>
    </row>
    <row r="697" spans="1:9" hidden="1" x14ac:dyDescent="0.25">
      <c r="A697" s="102" t="s">
        <v>3738</v>
      </c>
      <c r="B697" s="103" t="s">
        <v>3739</v>
      </c>
      <c r="C697" s="104" t="s">
        <v>32</v>
      </c>
      <c r="D697" s="104">
        <v>0</v>
      </c>
      <c r="E697" s="158" t="s">
        <v>1079</v>
      </c>
      <c r="F697" s="159" t="str">
        <f t="shared" si="30"/>
        <v/>
      </c>
      <c r="G697" s="160" t="e">
        <f>IF(A697&lt;&gt;"",IF(AND(#REF!="Padrão",$H$4=#REF!),BDI!$B$17,IF(AND(#REF!="Padrão",$H$4=#REF!),BDI!$C$17,IF(AND(#REF!="Diferenciado",$H$4=#REF!),BDI!$G$17,IF(AND(#REF!="Diferenciado",$H$4=#REF!),BDI!$H$17,IF(#REF!="ZERO",0))))),"")</f>
        <v>#REF!</v>
      </c>
      <c r="H697" s="161" t="str">
        <f t="shared" si="31"/>
        <v/>
      </c>
      <c r="I697" s="159" t="str">
        <f t="shared" si="32"/>
        <v/>
      </c>
    </row>
    <row r="698" spans="1:9" hidden="1" x14ac:dyDescent="0.25">
      <c r="A698" s="102" t="s">
        <v>3740</v>
      </c>
      <c r="B698" s="103" t="s">
        <v>3741</v>
      </c>
      <c r="C698" s="104" t="s">
        <v>32</v>
      </c>
      <c r="D698" s="104">
        <v>0</v>
      </c>
      <c r="E698" s="158" t="s">
        <v>1079</v>
      </c>
      <c r="F698" s="159" t="str">
        <f t="shared" si="30"/>
        <v/>
      </c>
      <c r="G698" s="160" t="e">
        <f>IF(A698&lt;&gt;"",IF(AND(#REF!="Padrão",$H$4=#REF!),BDI!$B$17,IF(AND(#REF!="Padrão",$H$4=#REF!),BDI!$C$17,IF(AND(#REF!="Diferenciado",$H$4=#REF!),BDI!$G$17,IF(AND(#REF!="Diferenciado",$H$4=#REF!),BDI!$H$17,IF(#REF!="ZERO",0))))),"")</f>
        <v>#REF!</v>
      </c>
      <c r="H698" s="161" t="str">
        <f t="shared" si="31"/>
        <v/>
      </c>
      <c r="I698" s="159" t="str">
        <f t="shared" si="32"/>
        <v/>
      </c>
    </row>
    <row r="699" spans="1:9" hidden="1" x14ac:dyDescent="0.25">
      <c r="A699" s="102" t="s">
        <v>3742</v>
      </c>
      <c r="B699" s="103" t="s">
        <v>3743</v>
      </c>
      <c r="C699" s="104" t="s">
        <v>32</v>
      </c>
      <c r="D699" s="104">
        <v>0</v>
      </c>
      <c r="E699" s="158" t="s">
        <v>1079</v>
      </c>
      <c r="F699" s="159" t="str">
        <f t="shared" si="30"/>
        <v/>
      </c>
      <c r="G699" s="160" t="e">
        <f>IF(A699&lt;&gt;"",IF(AND(#REF!="Padrão",$H$4=#REF!),BDI!$B$17,IF(AND(#REF!="Padrão",$H$4=#REF!),BDI!$C$17,IF(AND(#REF!="Diferenciado",$H$4=#REF!),BDI!$G$17,IF(AND(#REF!="Diferenciado",$H$4=#REF!),BDI!$H$17,IF(#REF!="ZERO",0))))),"")</f>
        <v>#REF!</v>
      </c>
      <c r="H699" s="161" t="str">
        <f t="shared" si="31"/>
        <v/>
      </c>
      <c r="I699" s="159" t="str">
        <f t="shared" si="32"/>
        <v/>
      </c>
    </row>
    <row r="700" spans="1:9" hidden="1" x14ac:dyDescent="0.25">
      <c r="A700" s="102" t="s">
        <v>3744</v>
      </c>
      <c r="B700" s="103" t="s">
        <v>3745</v>
      </c>
      <c r="C700" s="104" t="s">
        <v>32</v>
      </c>
      <c r="D700" s="104">
        <v>0</v>
      </c>
      <c r="E700" s="158" t="s">
        <v>1079</v>
      </c>
      <c r="F700" s="159" t="str">
        <f t="shared" si="30"/>
        <v/>
      </c>
      <c r="G700" s="160" t="e">
        <f>IF(A700&lt;&gt;"",IF(AND(#REF!="Padrão",$H$4=#REF!),BDI!$B$17,IF(AND(#REF!="Padrão",$H$4=#REF!),BDI!$C$17,IF(AND(#REF!="Diferenciado",$H$4=#REF!),BDI!$G$17,IF(AND(#REF!="Diferenciado",$H$4=#REF!),BDI!$H$17,IF(#REF!="ZERO",0))))),"")</f>
        <v>#REF!</v>
      </c>
      <c r="H700" s="161" t="str">
        <f t="shared" si="31"/>
        <v/>
      </c>
      <c r="I700" s="159" t="str">
        <f t="shared" si="32"/>
        <v/>
      </c>
    </row>
    <row r="701" spans="1:9" hidden="1" x14ac:dyDescent="0.25">
      <c r="A701" s="102" t="s">
        <v>3746</v>
      </c>
      <c r="B701" s="103" t="s">
        <v>3747</v>
      </c>
      <c r="C701" s="104" t="s">
        <v>32</v>
      </c>
      <c r="D701" s="104">
        <v>0</v>
      </c>
      <c r="E701" s="158" t="s">
        <v>1079</v>
      </c>
      <c r="F701" s="159" t="str">
        <f t="shared" si="30"/>
        <v/>
      </c>
      <c r="G701" s="160" t="e">
        <f>IF(A701&lt;&gt;"",IF(AND(#REF!="Padrão",$H$4=#REF!),BDI!$B$17,IF(AND(#REF!="Padrão",$H$4=#REF!),BDI!$C$17,IF(AND(#REF!="Diferenciado",$H$4=#REF!),BDI!$G$17,IF(AND(#REF!="Diferenciado",$H$4=#REF!),BDI!$H$17,IF(#REF!="ZERO",0))))),"")</f>
        <v>#REF!</v>
      </c>
      <c r="H701" s="161" t="str">
        <f t="shared" si="31"/>
        <v/>
      </c>
      <c r="I701" s="159" t="str">
        <f t="shared" si="32"/>
        <v/>
      </c>
    </row>
    <row r="702" spans="1:9" hidden="1" x14ac:dyDescent="0.25">
      <c r="A702" s="102" t="s">
        <v>3748</v>
      </c>
      <c r="B702" s="103" t="s">
        <v>3749</v>
      </c>
      <c r="C702" s="104" t="s">
        <v>32</v>
      </c>
      <c r="D702" s="104">
        <v>0</v>
      </c>
      <c r="E702" s="158" t="s">
        <v>1079</v>
      </c>
      <c r="F702" s="159" t="str">
        <f t="shared" si="30"/>
        <v/>
      </c>
      <c r="G702" s="160" t="e">
        <f>IF(A702&lt;&gt;"",IF(AND(#REF!="Padrão",$H$4=#REF!),BDI!$B$17,IF(AND(#REF!="Padrão",$H$4=#REF!),BDI!$C$17,IF(AND(#REF!="Diferenciado",$H$4=#REF!),BDI!$G$17,IF(AND(#REF!="Diferenciado",$H$4=#REF!),BDI!$H$17,IF(#REF!="ZERO",0))))),"")</f>
        <v>#REF!</v>
      </c>
      <c r="H702" s="161" t="str">
        <f t="shared" si="31"/>
        <v/>
      </c>
      <c r="I702" s="159" t="str">
        <f t="shared" si="32"/>
        <v/>
      </c>
    </row>
    <row r="703" spans="1:9" hidden="1" x14ac:dyDescent="0.25">
      <c r="A703" s="102" t="s">
        <v>3750</v>
      </c>
      <c r="B703" s="103" t="s">
        <v>3751</v>
      </c>
      <c r="C703" s="104" t="s">
        <v>32</v>
      </c>
      <c r="D703" s="104">
        <v>0</v>
      </c>
      <c r="E703" s="158" t="s">
        <v>1079</v>
      </c>
      <c r="F703" s="159" t="str">
        <f t="shared" si="30"/>
        <v/>
      </c>
      <c r="G703" s="160" t="e">
        <f>IF(A703&lt;&gt;"",IF(AND(#REF!="Padrão",$H$4=#REF!),BDI!$B$17,IF(AND(#REF!="Padrão",$H$4=#REF!),BDI!$C$17,IF(AND(#REF!="Diferenciado",$H$4=#REF!),BDI!$G$17,IF(AND(#REF!="Diferenciado",$H$4=#REF!),BDI!$H$17,IF(#REF!="ZERO",0))))),"")</f>
        <v>#REF!</v>
      </c>
      <c r="H703" s="161" t="str">
        <f t="shared" si="31"/>
        <v/>
      </c>
      <c r="I703" s="159" t="str">
        <f t="shared" si="32"/>
        <v/>
      </c>
    </row>
    <row r="704" spans="1:9" hidden="1" x14ac:dyDescent="0.25">
      <c r="A704" s="102" t="s">
        <v>3752</v>
      </c>
      <c r="B704" s="103" t="s">
        <v>3753</v>
      </c>
      <c r="C704" s="104" t="s">
        <v>32</v>
      </c>
      <c r="D704" s="104">
        <v>0</v>
      </c>
      <c r="E704" s="158" t="s">
        <v>1079</v>
      </c>
      <c r="F704" s="159" t="str">
        <f t="shared" si="30"/>
        <v/>
      </c>
      <c r="G704" s="160" t="e">
        <f>IF(A704&lt;&gt;"",IF(AND(#REF!="Padrão",$H$4=#REF!),BDI!$B$17,IF(AND(#REF!="Padrão",$H$4=#REF!),BDI!$C$17,IF(AND(#REF!="Diferenciado",$H$4=#REF!),BDI!$G$17,IF(AND(#REF!="Diferenciado",$H$4=#REF!),BDI!$H$17,IF(#REF!="ZERO",0))))),"")</f>
        <v>#REF!</v>
      </c>
      <c r="H704" s="161" t="str">
        <f t="shared" si="31"/>
        <v/>
      </c>
      <c r="I704" s="159" t="str">
        <f t="shared" si="32"/>
        <v/>
      </c>
    </row>
    <row r="705" spans="1:9" hidden="1" x14ac:dyDescent="0.25">
      <c r="A705" s="102" t="s">
        <v>3754</v>
      </c>
      <c r="B705" s="103" t="s">
        <v>3755</v>
      </c>
      <c r="C705" s="104" t="s">
        <v>32</v>
      </c>
      <c r="D705" s="104">
        <v>0</v>
      </c>
      <c r="E705" s="158" t="s">
        <v>1079</v>
      </c>
      <c r="F705" s="159" t="str">
        <f t="shared" si="30"/>
        <v/>
      </c>
      <c r="G705" s="160" t="e">
        <f>IF(A705&lt;&gt;"",IF(AND(#REF!="Padrão",$H$4=#REF!),BDI!$B$17,IF(AND(#REF!="Padrão",$H$4=#REF!),BDI!$C$17,IF(AND(#REF!="Diferenciado",$H$4=#REF!),BDI!$G$17,IF(AND(#REF!="Diferenciado",$H$4=#REF!),BDI!$H$17,IF(#REF!="ZERO",0))))),"")</f>
        <v>#REF!</v>
      </c>
      <c r="H705" s="161" t="str">
        <f t="shared" si="31"/>
        <v/>
      </c>
      <c r="I705" s="159" t="str">
        <f t="shared" si="32"/>
        <v/>
      </c>
    </row>
    <row r="706" spans="1:9" hidden="1" x14ac:dyDescent="0.25">
      <c r="A706" s="102" t="s">
        <v>3756</v>
      </c>
      <c r="B706" s="103" t="s">
        <v>3757</v>
      </c>
      <c r="C706" s="104" t="s">
        <v>32</v>
      </c>
      <c r="D706" s="104">
        <v>0</v>
      </c>
      <c r="E706" s="158" t="s">
        <v>1079</v>
      </c>
      <c r="F706" s="159" t="str">
        <f t="shared" si="30"/>
        <v/>
      </c>
      <c r="G706" s="160" t="e">
        <f>IF(A706&lt;&gt;"",IF(AND(#REF!="Padrão",$H$4=#REF!),BDI!$B$17,IF(AND(#REF!="Padrão",$H$4=#REF!),BDI!$C$17,IF(AND(#REF!="Diferenciado",$H$4=#REF!),BDI!$G$17,IF(AND(#REF!="Diferenciado",$H$4=#REF!),BDI!$H$17,IF(#REF!="ZERO",0))))),"")</f>
        <v>#REF!</v>
      </c>
      <c r="H706" s="161" t="str">
        <f t="shared" si="31"/>
        <v/>
      </c>
      <c r="I706" s="159" t="str">
        <f t="shared" si="32"/>
        <v/>
      </c>
    </row>
    <row r="707" spans="1:9" hidden="1" x14ac:dyDescent="0.25">
      <c r="A707" s="102" t="s">
        <v>3758</v>
      </c>
      <c r="B707" s="103" t="s">
        <v>3759</v>
      </c>
      <c r="C707" s="104" t="s">
        <v>32</v>
      </c>
      <c r="D707" s="104">
        <v>0</v>
      </c>
      <c r="E707" s="158" t="s">
        <v>1079</v>
      </c>
      <c r="F707" s="159" t="str">
        <f t="shared" si="30"/>
        <v/>
      </c>
      <c r="G707" s="160" t="e">
        <f>IF(A707&lt;&gt;"",IF(AND(#REF!="Padrão",$H$4=#REF!),BDI!$B$17,IF(AND(#REF!="Padrão",$H$4=#REF!),BDI!$C$17,IF(AND(#REF!="Diferenciado",$H$4=#REF!),BDI!$G$17,IF(AND(#REF!="Diferenciado",$H$4=#REF!),BDI!$H$17,IF(#REF!="ZERO",0))))),"")</f>
        <v>#REF!</v>
      </c>
      <c r="H707" s="161" t="str">
        <f t="shared" si="31"/>
        <v/>
      </c>
      <c r="I707" s="159" t="str">
        <f t="shared" si="32"/>
        <v/>
      </c>
    </row>
    <row r="708" spans="1:9" hidden="1" x14ac:dyDescent="0.25">
      <c r="A708" s="102" t="s">
        <v>3760</v>
      </c>
      <c r="B708" s="103" t="s">
        <v>3761</v>
      </c>
      <c r="C708" s="104" t="s">
        <v>32</v>
      </c>
      <c r="D708" s="104">
        <v>0</v>
      </c>
      <c r="E708" s="158" t="s">
        <v>1079</v>
      </c>
      <c r="F708" s="159" t="str">
        <f t="shared" si="30"/>
        <v/>
      </c>
      <c r="G708" s="160" t="e">
        <f>IF(A708&lt;&gt;"",IF(AND(#REF!="Padrão",$H$4=#REF!),BDI!$B$17,IF(AND(#REF!="Padrão",$H$4=#REF!),BDI!$C$17,IF(AND(#REF!="Diferenciado",$H$4=#REF!),BDI!$G$17,IF(AND(#REF!="Diferenciado",$H$4=#REF!),BDI!$H$17,IF(#REF!="ZERO",0))))),"")</f>
        <v>#REF!</v>
      </c>
      <c r="H708" s="161" t="str">
        <f t="shared" si="31"/>
        <v/>
      </c>
      <c r="I708" s="159" t="str">
        <f t="shared" si="32"/>
        <v/>
      </c>
    </row>
    <row r="709" spans="1:9" hidden="1" x14ac:dyDescent="0.25">
      <c r="A709" s="102" t="s">
        <v>3762</v>
      </c>
      <c r="B709" s="103" t="s">
        <v>3763</v>
      </c>
      <c r="C709" s="104" t="s">
        <v>32</v>
      </c>
      <c r="D709" s="104">
        <v>0</v>
      </c>
      <c r="E709" s="158" t="s">
        <v>1079</v>
      </c>
      <c r="F709" s="159" t="str">
        <f t="shared" si="30"/>
        <v/>
      </c>
      <c r="G709" s="160" t="e">
        <f>IF(A709&lt;&gt;"",IF(AND(#REF!="Padrão",$H$4=#REF!),BDI!$B$17,IF(AND(#REF!="Padrão",$H$4=#REF!),BDI!$C$17,IF(AND(#REF!="Diferenciado",$H$4=#REF!),BDI!$G$17,IF(AND(#REF!="Diferenciado",$H$4=#REF!),BDI!$H$17,IF(#REF!="ZERO",0))))),"")</f>
        <v>#REF!</v>
      </c>
      <c r="H709" s="161" t="str">
        <f t="shared" si="31"/>
        <v/>
      </c>
      <c r="I709" s="159" t="str">
        <f t="shared" si="32"/>
        <v/>
      </c>
    </row>
    <row r="710" spans="1:9" hidden="1" x14ac:dyDescent="0.25">
      <c r="A710" s="102" t="s">
        <v>3764</v>
      </c>
      <c r="B710" s="103" t="s">
        <v>3765</v>
      </c>
      <c r="C710" s="104" t="s">
        <v>32</v>
      </c>
      <c r="D710" s="104">
        <v>0</v>
      </c>
      <c r="E710" s="158" t="s">
        <v>1079</v>
      </c>
      <c r="F710" s="159" t="str">
        <f t="shared" si="30"/>
        <v/>
      </c>
      <c r="G710" s="160" t="e">
        <f>IF(A710&lt;&gt;"",IF(AND(#REF!="Padrão",$H$4=#REF!),BDI!$B$17,IF(AND(#REF!="Padrão",$H$4=#REF!),BDI!$C$17,IF(AND(#REF!="Diferenciado",$H$4=#REF!),BDI!$G$17,IF(AND(#REF!="Diferenciado",$H$4=#REF!),BDI!$H$17,IF(#REF!="ZERO",0))))),"")</f>
        <v>#REF!</v>
      </c>
      <c r="H710" s="161" t="str">
        <f t="shared" si="31"/>
        <v/>
      </c>
      <c r="I710" s="159" t="str">
        <f t="shared" si="32"/>
        <v/>
      </c>
    </row>
    <row r="711" spans="1:9" hidden="1" x14ac:dyDescent="0.25">
      <c r="A711" s="102" t="s">
        <v>3766</v>
      </c>
      <c r="B711" s="103" t="s">
        <v>3767</v>
      </c>
      <c r="C711" s="104" t="s">
        <v>32</v>
      </c>
      <c r="D711" s="104">
        <v>0</v>
      </c>
      <c r="E711" s="158" t="s">
        <v>1079</v>
      </c>
      <c r="F711" s="159" t="str">
        <f t="shared" ref="F711:F774" si="33">IF(ISNUMBER(E711),D711*E711,"")</f>
        <v/>
      </c>
      <c r="G711" s="160" t="e">
        <f>IF(A711&lt;&gt;"",IF(AND(#REF!="Padrão",$H$4=#REF!),BDI!$B$17,IF(AND(#REF!="Padrão",$H$4=#REF!),BDI!$C$17,IF(AND(#REF!="Diferenciado",$H$4=#REF!),BDI!$G$17,IF(AND(#REF!="Diferenciado",$H$4=#REF!),BDI!$H$17,IF(#REF!="ZERO",0))))),"")</f>
        <v>#REF!</v>
      </c>
      <c r="H711" s="161" t="str">
        <f t="shared" ref="H711:H774" si="34">IF(ISNUMBER(E711),ROUND(E711*(1+G711),2),"")</f>
        <v/>
      </c>
      <c r="I711" s="159" t="str">
        <f t="shared" ref="I711:I774" si="35">IF(ISNUMBER(E711),ROUND(H711*D711,2),"")</f>
        <v/>
      </c>
    </row>
    <row r="712" spans="1:9" hidden="1" x14ac:dyDescent="0.25">
      <c r="A712" s="102" t="s">
        <v>3768</v>
      </c>
      <c r="B712" s="103" t="s">
        <v>3769</v>
      </c>
      <c r="C712" s="104" t="s">
        <v>32</v>
      </c>
      <c r="D712" s="104">
        <v>0</v>
      </c>
      <c r="E712" s="158" t="s">
        <v>1079</v>
      </c>
      <c r="F712" s="159" t="str">
        <f t="shared" si="33"/>
        <v/>
      </c>
      <c r="G712" s="160" t="e">
        <f>IF(A712&lt;&gt;"",IF(AND(#REF!="Padrão",$H$4=#REF!),BDI!$B$17,IF(AND(#REF!="Padrão",$H$4=#REF!),BDI!$C$17,IF(AND(#REF!="Diferenciado",$H$4=#REF!),BDI!$G$17,IF(AND(#REF!="Diferenciado",$H$4=#REF!),BDI!$H$17,IF(#REF!="ZERO",0))))),"")</f>
        <v>#REF!</v>
      </c>
      <c r="H712" s="161" t="str">
        <f t="shared" si="34"/>
        <v/>
      </c>
      <c r="I712" s="159" t="str">
        <f t="shared" si="35"/>
        <v/>
      </c>
    </row>
    <row r="713" spans="1:9" hidden="1" x14ac:dyDescent="0.25">
      <c r="A713" s="102" t="s">
        <v>1493</v>
      </c>
      <c r="B713" s="103" t="s">
        <v>3770</v>
      </c>
      <c r="C713" s="104" t="s">
        <v>3771</v>
      </c>
      <c r="D713" s="104">
        <v>0</v>
      </c>
      <c r="E713" s="158">
        <f ca="1">OFFSET(INDEX(Composições!A:J,MATCH(Orçamentária!A713,Composições!A:A,0),10),2,0)</f>
        <v>8407.1339688000007</v>
      </c>
      <c r="F713" s="159">
        <f t="shared" ca="1" si="33"/>
        <v>0</v>
      </c>
      <c r="G713" s="160" t="e">
        <f>IF(A713&lt;&gt;"",IF(AND(#REF!="Padrão",$H$4=#REF!),BDI!$B$17,IF(AND(#REF!="Padrão",$H$4=#REF!),BDI!$C$17,IF(AND(#REF!="Diferenciado",$H$4=#REF!),BDI!$G$17,IF(AND(#REF!="Diferenciado",$H$4=#REF!),BDI!$H$17,IF(#REF!="ZERO",0))))),"")</f>
        <v>#REF!</v>
      </c>
      <c r="H713" s="161" t="e">
        <f t="shared" ca="1" si="34"/>
        <v>#REF!</v>
      </c>
      <c r="I713" s="159" t="e">
        <f t="shared" ca="1" si="35"/>
        <v>#REF!</v>
      </c>
    </row>
    <row r="714" spans="1:9" hidden="1" x14ac:dyDescent="0.25">
      <c r="A714" s="102" t="s">
        <v>1496</v>
      </c>
      <c r="B714" s="103" t="s">
        <v>3772</v>
      </c>
      <c r="C714" s="104" t="s">
        <v>3771</v>
      </c>
      <c r="D714" s="104">
        <v>0</v>
      </c>
      <c r="E714" s="158">
        <f ca="1">OFFSET(INDEX(Composições!A:J,MATCH(Orçamentária!A714,Composições!A:A,0),10),2,0)</f>
        <v>2270.1814687999999</v>
      </c>
      <c r="F714" s="159">
        <f t="shared" ca="1" si="33"/>
        <v>0</v>
      </c>
      <c r="G714" s="160" t="e">
        <f>IF(A714&lt;&gt;"",IF(AND(#REF!="Padrão",$H$4=#REF!),BDI!$B$17,IF(AND(#REF!="Padrão",$H$4=#REF!),BDI!$C$17,IF(AND(#REF!="Diferenciado",$H$4=#REF!),BDI!$G$17,IF(AND(#REF!="Diferenciado",$H$4=#REF!),BDI!$H$17,IF(#REF!="ZERO",0))))),"")</f>
        <v>#REF!</v>
      </c>
      <c r="H714" s="161" t="e">
        <f t="shared" ca="1" si="34"/>
        <v>#REF!</v>
      </c>
      <c r="I714" s="159" t="e">
        <f t="shared" ca="1" si="35"/>
        <v>#REF!</v>
      </c>
    </row>
    <row r="715" spans="1:9" hidden="1" x14ac:dyDescent="0.25">
      <c r="A715" s="102" t="s">
        <v>1499</v>
      </c>
      <c r="B715" s="103" t="s">
        <v>3773</v>
      </c>
      <c r="C715" s="104" t="s">
        <v>3771</v>
      </c>
      <c r="D715" s="104">
        <v>0</v>
      </c>
      <c r="E715" s="158">
        <f ca="1">OFFSET(INDEX(Composições!A:J,MATCH(Orçamentária!A715,Composições!A:A,0),10),2,0)</f>
        <v>1480.7238991999998</v>
      </c>
      <c r="F715" s="159">
        <f t="shared" ca="1" si="33"/>
        <v>0</v>
      </c>
      <c r="G715" s="160" t="e">
        <f>IF(A715&lt;&gt;"",IF(AND(#REF!="Padrão",$H$4=#REF!),BDI!$B$17,IF(AND(#REF!="Padrão",$H$4=#REF!),BDI!$C$17,IF(AND(#REF!="Diferenciado",$H$4=#REF!),BDI!$G$17,IF(AND(#REF!="Diferenciado",$H$4=#REF!),BDI!$H$17,IF(#REF!="ZERO",0))))),"")</f>
        <v>#REF!</v>
      </c>
      <c r="H715" s="161" t="e">
        <f t="shared" ca="1" si="34"/>
        <v>#REF!</v>
      </c>
      <c r="I715" s="159" t="e">
        <f t="shared" ca="1" si="35"/>
        <v>#REF!</v>
      </c>
    </row>
    <row r="716" spans="1:9" hidden="1" x14ac:dyDescent="0.25">
      <c r="A716" s="102" t="s">
        <v>1500</v>
      </c>
      <c r="B716" s="103" t="s">
        <v>3774</v>
      </c>
      <c r="C716" s="104" t="s">
        <v>3771</v>
      </c>
      <c r="D716" s="104">
        <v>0</v>
      </c>
      <c r="E716" s="158">
        <f ca="1">OFFSET(INDEX(Composições!A:J,MATCH(Orçamentária!A716,Composições!A:A,0),10),2,0)</f>
        <v>1670.2329924000001</v>
      </c>
      <c r="F716" s="159">
        <f t="shared" ca="1" si="33"/>
        <v>0</v>
      </c>
      <c r="G716" s="160" t="e">
        <f>IF(A716&lt;&gt;"",IF(AND(#REF!="Padrão",$H$4=#REF!),BDI!$B$17,IF(AND(#REF!="Padrão",$H$4=#REF!),BDI!$C$17,IF(AND(#REF!="Diferenciado",$H$4=#REF!),BDI!$G$17,IF(AND(#REF!="Diferenciado",$H$4=#REF!),BDI!$H$17,IF(#REF!="ZERO",0))))),"")</f>
        <v>#REF!</v>
      </c>
      <c r="H716" s="161" t="e">
        <f t="shared" ca="1" si="34"/>
        <v>#REF!</v>
      </c>
      <c r="I716" s="159" t="e">
        <f t="shared" ca="1" si="35"/>
        <v>#REF!</v>
      </c>
    </row>
    <row r="717" spans="1:9" hidden="1" x14ac:dyDescent="0.25">
      <c r="A717" s="102" t="s">
        <v>1502</v>
      </c>
      <c r="B717" s="103" t="s">
        <v>3775</v>
      </c>
      <c r="C717" s="104" t="s">
        <v>3771</v>
      </c>
      <c r="D717" s="104">
        <v>0</v>
      </c>
      <c r="E717" s="158">
        <f ca="1">OFFSET(INDEX(Composições!A:J,MATCH(Orçamentária!A717,Composições!A:A,0),10),2,0)</f>
        <v>1615.2458979999999</v>
      </c>
      <c r="F717" s="159">
        <f t="shared" ca="1" si="33"/>
        <v>0</v>
      </c>
      <c r="G717" s="160" t="e">
        <f>IF(A717&lt;&gt;"",IF(AND(#REF!="Padrão",$H$4=#REF!),BDI!$B$17,IF(AND(#REF!="Padrão",$H$4=#REF!),BDI!$C$17,IF(AND(#REF!="Diferenciado",$H$4=#REF!),BDI!$G$17,IF(AND(#REF!="Diferenciado",$H$4=#REF!),BDI!$H$17,IF(#REF!="ZERO",0))))),"")</f>
        <v>#REF!</v>
      </c>
      <c r="H717" s="161" t="e">
        <f t="shared" ca="1" si="34"/>
        <v>#REF!</v>
      </c>
      <c r="I717" s="159" t="e">
        <f t="shared" ca="1" si="35"/>
        <v>#REF!</v>
      </c>
    </row>
    <row r="718" spans="1:9" hidden="1" x14ac:dyDescent="0.25">
      <c r="A718" s="102" t="s">
        <v>1504</v>
      </c>
      <c r="B718" s="103" t="s">
        <v>3776</v>
      </c>
      <c r="C718" s="104" t="s">
        <v>3771</v>
      </c>
      <c r="D718" s="104">
        <v>0</v>
      </c>
      <c r="E718" s="158">
        <f ca="1">OFFSET(INDEX(Composições!A:J,MATCH(Orçamentária!A718,Composições!A:A,0),10),2,0)</f>
        <v>1999.1736463999998</v>
      </c>
      <c r="F718" s="159">
        <f t="shared" ca="1" si="33"/>
        <v>0</v>
      </c>
      <c r="G718" s="160" t="e">
        <f>IF(A718&lt;&gt;"",IF(AND(#REF!="Padrão",$H$4=#REF!),BDI!$B$17,IF(AND(#REF!="Padrão",$H$4=#REF!),BDI!$C$17,IF(AND(#REF!="Diferenciado",$H$4=#REF!),BDI!$G$17,IF(AND(#REF!="Diferenciado",$H$4=#REF!),BDI!$H$17,IF(#REF!="ZERO",0))))),"")</f>
        <v>#REF!</v>
      </c>
      <c r="H718" s="161" t="e">
        <f t="shared" ca="1" si="34"/>
        <v>#REF!</v>
      </c>
      <c r="I718" s="159" t="e">
        <f t="shared" ca="1" si="35"/>
        <v>#REF!</v>
      </c>
    </row>
    <row r="719" spans="1:9" hidden="1" x14ac:dyDescent="0.25">
      <c r="A719" s="102" t="s">
        <v>1505</v>
      </c>
      <c r="B719" s="103" t="s">
        <v>3777</v>
      </c>
      <c r="C719" s="104" t="s">
        <v>3771</v>
      </c>
      <c r="D719" s="104">
        <v>0</v>
      </c>
      <c r="E719" s="158">
        <f ca="1">OFFSET(INDEX(Composições!A:J,MATCH(Orçamentária!A719,Composições!A:A,0),10),2,0)</f>
        <v>1999.1736463999998</v>
      </c>
      <c r="F719" s="159">
        <f t="shared" ca="1" si="33"/>
        <v>0</v>
      </c>
      <c r="G719" s="160" t="e">
        <f>IF(A719&lt;&gt;"",IF(AND(#REF!="Padrão",$H$4=#REF!),BDI!$B$17,IF(AND(#REF!="Padrão",$H$4=#REF!),BDI!$C$17,IF(AND(#REF!="Diferenciado",$H$4=#REF!),BDI!$G$17,IF(AND(#REF!="Diferenciado",$H$4=#REF!),BDI!$H$17,IF(#REF!="ZERO",0))))),"")</f>
        <v>#REF!</v>
      </c>
      <c r="H719" s="161" t="e">
        <f t="shared" ca="1" si="34"/>
        <v>#REF!</v>
      </c>
      <c r="I719" s="159" t="e">
        <f t="shared" ca="1" si="35"/>
        <v>#REF!</v>
      </c>
    </row>
    <row r="720" spans="1:9" hidden="1" x14ac:dyDescent="0.25">
      <c r="A720" s="102" t="s">
        <v>1506</v>
      </c>
      <c r="B720" s="103" t="s">
        <v>3778</v>
      </c>
      <c r="C720" s="104" t="s">
        <v>3771</v>
      </c>
      <c r="D720" s="104">
        <v>0</v>
      </c>
      <c r="E720" s="158">
        <f ca="1">OFFSET(INDEX(Composições!A:J,MATCH(Orçamentária!A720,Composições!A:A,0),10),2,0)</f>
        <v>1969.7162744</v>
      </c>
      <c r="F720" s="159">
        <f t="shared" ca="1" si="33"/>
        <v>0</v>
      </c>
      <c r="G720" s="160" t="e">
        <f>IF(A720&lt;&gt;"",IF(AND(#REF!="Padrão",$H$4=#REF!),BDI!$B$17,IF(AND(#REF!="Padrão",$H$4=#REF!),BDI!$C$17,IF(AND(#REF!="Diferenciado",$H$4=#REF!),BDI!$G$17,IF(AND(#REF!="Diferenciado",$H$4=#REF!),BDI!$H$17,IF(#REF!="ZERO",0))))),"")</f>
        <v>#REF!</v>
      </c>
      <c r="H720" s="161" t="e">
        <f t="shared" ca="1" si="34"/>
        <v>#REF!</v>
      </c>
      <c r="I720" s="159" t="e">
        <f t="shared" ca="1" si="35"/>
        <v>#REF!</v>
      </c>
    </row>
    <row r="721" spans="1:9" hidden="1" x14ac:dyDescent="0.25">
      <c r="A721" s="102" t="s">
        <v>1507</v>
      </c>
      <c r="B721" s="103" t="s">
        <v>3779</v>
      </c>
      <c r="C721" s="104" t="s">
        <v>3771</v>
      </c>
      <c r="D721" s="104">
        <v>0</v>
      </c>
      <c r="E721" s="158">
        <f ca="1">OFFSET(INDEX(Composições!A:J,MATCH(Orçamentária!A721,Composições!A:A,0),10),2,0)</f>
        <v>2279.0186804</v>
      </c>
      <c r="F721" s="159">
        <f t="shared" ca="1" si="33"/>
        <v>0</v>
      </c>
      <c r="G721" s="160" t="e">
        <f>IF(A721&lt;&gt;"",IF(AND(#REF!="Padrão",$H$4=#REF!),BDI!$B$17,IF(AND(#REF!="Padrão",$H$4=#REF!),BDI!$C$17,IF(AND(#REF!="Diferenciado",$H$4=#REF!),BDI!$G$17,IF(AND(#REF!="Diferenciado",$H$4=#REF!),BDI!$H$17,IF(#REF!="ZERO",0))))),"")</f>
        <v>#REF!</v>
      </c>
      <c r="H721" s="161" t="e">
        <f t="shared" ca="1" si="34"/>
        <v>#REF!</v>
      </c>
      <c r="I721" s="159" t="e">
        <f t="shared" ca="1" si="35"/>
        <v>#REF!</v>
      </c>
    </row>
    <row r="722" spans="1:9" hidden="1" x14ac:dyDescent="0.25">
      <c r="A722" s="102" t="s">
        <v>1508</v>
      </c>
      <c r="B722" s="103" t="s">
        <v>3780</v>
      </c>
      <c r="C722" s="104" t="s">
        <v>3771</v>
      </c>
      <c r="D722" s="104">
        <v>0</v>
      </c>
      <c r="E722" s="158">
        <f ca="1">OFFSET(INDEX(Composições!A:J,MATCH(Orçamentária!A722,Composições!A:A,0),10),2,0)</f>
        <v>1978.5534859999998</v>
      </c>
      <c r="F722" s="159">
        <f t="shared" ca="1" si="33"/>
        <v>0</v>
      </c>
      <c r="G722" s="160" t="e">
        <f>IF(A722&lt;&gt;"",IF(AND(#REF!="Padrão",$H$4=#REF!),BDI!$B$17,IF(AND(#REF!="Padrão",$H$4=#REF!),BDI!$C$17,IF(AND(#REF!="Diferenciado",$H$4=#REF!),BDI!$G$17,IF(AND(#REF!="Diferenciado",$H$4=#REF!),BDI!$H$17,IF(#REF!="ZERO",0))))),"")</f>
        <v>#REF!</v>
      </c>
      <c r="H722" s="161" t="e">
        <f t="shared" ca="1" si="34"/>
        <v>#REF!</v>
      </c>
      <c r="I722" s="159" t="e">
        <f t="shared" ca="1" si="35"/>
        <v>#REF!</v>
      </c>
    </row>
    <row r="723" spans="1:9" hidden="1" x14ac:dyDescent="0.25">
      <c r="A723" s="102" t="s">
        <v>3781</v>
      </c>
      <c r="B723" s="103" t="s">
        <v>3782</v>
      </c>
      <c r="C723" s="104" t="s">
        <v>32</v>
      </c>
      <c r="D723" s="104">
        <v>0</v>
      </c>
      <c r="E723" s="158" t="s">
        <v>1079</v>
      </c>
      <c r="F723" s="159" t="str">
        <f t="shared" si="33"/>
        <v/>
      </c>
      <c r="G723" s="160" t="e">
        <f>IF(A723&lt;&gt;"",IF(AND(#REF!="Padrão",$H$4=#REF!),BDI!$B$17,IF(AND(#REF!="Padrão",$H$4=#REF!),BDI!$C$17,IF(AND(#REF!="Diferenciado",$H$4=#REF!),BDI!$G$17,IF(AND(#REF!="Diferenciado",$H$4=#REF!),BDI!$H$17,IF(#REF!="ZERO",0))))),"")</f>
        <v>#REF!</v>
      </c>
      <c r="H723" s="161" t="str">
        <f t="shared" si="34"/>
        <v/>
      </c>
      <c r="I723" s="159" t="str">
        <f t="shared" si="35"/>
        <v/>
      </c>
    </row>
    <row r="724" spans="1:9" hidden="1" x14ac:dyDescent="0.25">
      <c r="A724" s="102" t="s">
        <v>3783</v>
      </c>
      <c r="B724" s="103" t="s">
        <v>3784</v>
      </c>
      <c r="C724" s="104" t="s">
        <v>32</v>
      </c>
      <c r="D724" s="104">
        <v>0</v>
      </c>
      <c r="E724" s="158" t="s">
        <v>1079</v>
      </c>
      <c r="F724" s="159" t="str">
        <f t="shared" si="33"/>
        <v/>
      </c>
      <c r="G724" s="160" t="e">
        <f>IF(A724&lt;&gt;"",IF(AND(#REF!="Padrão",$H$4=#REF!),BDI!$B$17,IF(AND(#REF!="Padrão",$H$4=#REF!),BDI!$C$17,IF(AND(#REF!="Diferenciado",$H$4=#REF!),BDI!$G$17,IF(AND(#REF!="Diferenciado",$H$4=#REF!),BDI!$H$17,IF(#REF!="ZERO",0))))),"")</f>
        <v>#REF!</v>
      </c>
      <c r="H724" s="161" t="str">
        <f t="shared" si="34"/>
        <v/>
      </c>
      <c r="I724" s="159" t="str">
        <f t="shared" si="35"/>
        <v/>
      </c>
    </row>
    <row r="725" spans="1:9" hidden="1" x14ac:dyDescent="0.25">
      <c r="A725" s="102" t="s">
        <v>3785</v>
      </c>
      <c r="B725" s="103" t="s">
        <v>3786</v>
      </c>
      <c r="C725" s="104" t="s">
        <v>32</v>
      </c>
      <c r="D725" s="104">
        <v>0</v>
      </c>
      <c r="E725" s="158" t="s">
        <v>1079</v>
      </c>
      <c r="F725" s="159" t="str">
        <f t="shared" si="33"/>
        <v/>
      </c>
      <c r="G725" s="160" t="e">
        <f>IF(A725&lt;&gt;"",IF(AND(#REF!="Padrão",$H$4=#REF!),BDI!$B$17,IF(AND(#REF!="Padrão",$H$4=#REF!),BDI!$C$17,IF(AND(#REF!="Diferenciado",$H$4=#REF!),BDI!$G$17,IF(AND(#REF!="Diferenciado",$H$4=#REF!),BDI!$H$17,IF(#REF!="ZERO",0))))),"")</f>
        <v>#REF!</v>
      </c>
      <c r="H725" s="161" t="str">
        <f t="shared" si="34"/>
        <v/>
      </c>
      <c r="I725" s="159" t="str">
        <f t="shared" si="35"/>
        <v/>
      </c>
    </row>
    <row r="726" spans="1:9" hidden="1" x14ac:dyDescent="0.25">
      <c r="A726" s="102" t="s">
        <v>3787</v>
      </c>
      <c r="B726" s="103" t="s">
        <v>3788</v>
      </c>
      <c r="C726" s="104" t="s">
        <v>32</v>
      </c>
      <c r="D726" s="104">
        <v>0</v>
      </c>
      <c r="E726" s="158" t="s">
        <v>1079</v>
      </c>
      <c r="F726" s="159" t="str">
        <f t="shared" si="33"/>
        <v/>
      </c>
      <c r="G726" s="160" t="e">
        <f>IF(A726&lt;&gt;"",IF(AND(#REF!="Padrão",$H$4=#REF!),BDI!$B$17,IF(AND(#REF!="Padrão",$H$4=#REF!),BDI!$C$17,IF(AND(#REF!="Diferenciado",$H$4=#REF!),BDI!$G$17,IF(AND(#REF!="Diferenciado",$H$4=#REF!),BDI!$H$17,IF(#REF!="ZERO",0))))),"")</f>
        <v>#REF!</v>
      </c>
      <c r="H726" s="161" t="str">
        <f t="shared" si="34"/>
        <v/>
      </c>
      <c r="I726" s="159" t="str">
        <f t="shared" si="35"/>
        <v/>
      </c>
    </row>
    <row r="727" spans="1:9" hidden="1" x14ac:dyDescent="0.25">
      <c r="A727" s="102" t="s">
        <v>3789</v>
      </c>
      <c r="B727" s="103" t="s">
        <v>3790</v>
      </c>
      <c r="C727" s="104" t="s">
        <v>32</v>
      </c>
      <c r="D727" s="104">
        <v>0</v>
      </c>
      <c r="E727" s="158" t="s">
        <v>1079</v>
      </c>
      <c r="F727" s="159" t="str">
        <f t="shared" si="33"/>
        <v/>
      </c>
      <c r="G727" s="160" t="e">
        <f>IF(A727&lt;&gt;"",IF(AND(#REF!="Padrão",$H$4=#REF!),BDI!$B$17,IF(AND(#REF!="Padrão",$H$4=#REF!),BDI!$C$17,IF(AND(#REF!="Diferenciado",$H$4=#REF!),BDI!$G$17,IF(AND(#REF!="Diferenciado",$H$4=#REF!),BDI!$H$17,IF(#REF!="ZERO",0))))),"")</f>
        <v>#REF!</v>
      </c>
      <c r="H727" s="161" t="str">
        <f t="shared" si="34"/>
        <v/>
      </c>
      <c r="I727" s="159" t="str">
        <f t="shared" si="35"/>
        <v/>
      </c>
    </row>
    <row r="728" spans="1:9" hidden="1" x14ac:dyDescent="0.25">
      <c r="A728" s="102" t="s">
        <v>3791</v>
      </c>
      <c r="B728" s="103" t="s">
        <v>3792</v>
      </c>
      <c r="C728" s="104" t="s">
        <v>32</v>
      </c>
      <c r="D728" s="104">
        <v>0</v>
      </c>
      <c r="E728" s="158" t="s">
        <v>1079</v>
      </c>
      <c r="F728" s="159" t="str">
        <f t="shared" si="33"/>
        <v/>
      </c>
      <c r="G728" s="160" t="e">
        <f>IF(A728&lt;&gt;"",IF(AND(#REF!="Padrão",$H$4=#REF!),BDI!$B$17,IF(AND(#REF!="Padrão",$H$4=#REF!),BDI!$C$17,IF(AND(#REF!="Diferenciado",$H$4=#REF!),BDI!$G$17,IF(AND(#REF!="Diferenciado",$H$4=#REF!),BDI!$H$17,IF(#REF!="ZERO",0))))),"")</f>
        <v>#REF!</v>
      </c>
      <c r="H728" s="161" t="str">
        <f t="shared" si="34"/>
        <v/>
      </c>
      <c r="I728" s="159" t="str">
        <f t="shared" si="35"/>
        <v/>
      </c>
    </row>
    <row r="729" spans="1:9" hidden="1" x14ac:dyDescent="0.25">
      <c r="A729" s="102" t="s">
        <v>3793</v>
      </c>
      <c r="B729" s="103" t="s">
        <v>3794</v>
      </c>
      <c r="C729" s="104" t="s">
        <v>32</v>
      </c>
      <c r="D729" s="104">
        <v>0</v>
      </c>
      <c r="E729" s="158" t="s">
        <v>1079</v>
      </c>
      <c r="F729" s="159" t="str">
        <f t="shared" si="33"/>
        <v/>
      </c>
      <c r="G729" s="160" t="e">
        <f>IF(A729&lt;&gt;"",IF(AND(#REF!="Padrão",$H$4=#REF!),BDI!$B$17,IF(AND(#REF!="Padrão",$H$4=#REF!),BDI!$C$17,IF(AND(#REF!="Diferenciado",$H$4=#REF!),BDI!$G$17,IF(AND(#REF!="Diferenciado",$H$4=#REF!),BDI!$H$17,IF(#REF!="ZERO",0))))),"")</f>
        <v>#REF!</v>
      </c>
      <c r="H729" s="161" t="str">
        <f t="shared" si="34"/>
        <v/>
      </c>
      <c r="I729" s="159" t="str">
        <f t="shared" si="35"/>
        <v/>
      </c>
    </row>
    <row r="730" spans="1:9" hidden="1" x14ac:dyDescent="0.25">
      <c r="A730" s="102" t="s">
        <v>3795</v>
      </c>
      <c r="B730" s="103" t="s">
        <v>3796</v>
      </c>
      <c r="C730" s="104" t="s">
        <v>32</v>
      </c>
      <c r="D730" s="104">
        <v>0</v>
      </c>
      <c r="E730" s="158" t="s">
        <v>1079</v>
      </c>
      <c r="F730" s="159" t="str">
        <f t="shared" si="33"/>
        <v/>
      </c>
      <c r="G730" s="160" t="e">
        <f>IF(A730&lt;&gt;"",IF(AND(#REF!="Padrão",$H$4=#REF!),BDI!$B$17,IF(AND(#REF!="Padrão",$H$4=#REF!),BDI!$C$17,IF(AND(#REF!="Diferenciado",$H$4=#REF!),BDI!$G$17,IF(AND(#REF!="Diferenciado",$H$4=#REF!),BDI!$H$17,IF(#REF!="ZERO",0))))),"")</f>
        <v>#REF!</v>
      </c>
      <c r="H730" s="161" t="str">
        <f t="shared" si="34"/>
        <v/>
      </c>
      <c r="I730" s="159" t="str">
        <f t="shared" si="35"/>
        <v/>
      </c>
    </row>
    <row r="731" spans="1:9" hidden="1" x14ac:dyDescent="0.25">
      <c r="A731" s="102" t="s">
        <v>3797</v>
      </c>
      <c r="B731" s="103" t="s">
        <v>3798</v>
      </c>
      <c r="C731" s="104" t="s">
        <v>32</v>
      </c>
      <c r="D731" s="104">
        <v>0</v>
      </c>
      <c r="E731" s="158" t="s">
        <v>1079</v>
      </c>
      <c r="F731" s="159" t="str">
        <f t="shared" si="33"/>
        <v/>
      </c>
      <c r="G731" s="160" t="e">
        <f>IF(A731&lt;&gt;"",IF(AND(#REF!="Padrão",$H$4=#REF!),BDI!$B$17,IF(AND(#REF!="Padrão",$H$4=#REF!),BDI!$C$17,IF(AND(#REF!="Diferenciado",$H$4=#REF!),BDI!$G$17,IF(AND(#REF!="Diferenciado",$H$4=#REF!),BDI!$H$17,IF(#REF!="ZERO",0))))),"")</f>
        <v>#REF!</v>
      </c>
      <c r="H731" s="161" t="str">
        <f t="shared" si="34"/>
        <v/>
      </c>
      <c r="I731" s="159" t="str">
        <f t="shared" si="35"/>
        <v/>
      </c>
    </row>
    <row r="732" spans="1:9" hidden="1" x14ac:dyDescent="0.25">
      <c r="A732" s="102" t="s">
        <v>3799</v>
      </c>
      <c r="B732" s="103" t="s">
        <v>3800</v>
      </c>
      <c r="C732" s="104" t="s">
        <v>32</v>
      </c>
      <c r="D732" s="104">
        <v>0</v>
      </c>
      <c r="E732" s="158" t="s">
        <v>1079</v>
      </c>
      <c r="F732" s="159" t="str">
        <f t="shared" si="33"/>
        <v/>
      </c>
      <c r="G732" s="160" t="e">
        <f>IF(A732&lt;&gt;"",IF(AND(#REF!="Padrão",$H$4=#REF!),BDI!$B$17,IF(AND(#REF!="Padrão",$H$4=#REF!),BDI!$C$17,IF(AND(#REF!="Diferenciado",$H$4=#REF!),BDI!$G$17,IF(AND(#REF!="Diferenciado",$H$4=#REF!),BDI!$H$17,IF(#REF!="ZERO",0))))),"")</f>
        <v>#REF!</v>
      </c>
      <c r="H732" s="161" t="str">
        <f t="shared" si="34"/>
        <v/>
      </c>
      <c r="I732" s="159" t="str">
        <f t="shared" si="35"/>
        <v/>
      </c>
    </row>
    <row r="733" spans="1:9" hidden="1" x14ac:dyDescent="0.25">
      <c r="A733" s="102" t="s">
        <v>3801</v>
      </c>
      <c r="B733" s="103" t="s">
        <v>3802</v>
      </c>
      <c r="C733" s="104" t="s">
        <v>32</v>
      </c>
      <c r="D733" s="104">
        <v>0</v>
      </c>
      <c r="E733" s="158" t="s">
        <v>1079</v>
      </c>
      <c r="F733" s="159" t="str">
        <f t="shared" si="33"/>
        <v/>
      </c>
      <c r="G733" s="160" t="e">
        <f>IF(A733&lt;&gt;"",IF(AND(#REF!="Padrão",$H$4=#REF!),BDI!$B$17,IF(AND(#REF!="Padrão",$H$4=#REF!),BDI!$C$17,IF(AND(#REF!="Diferenciado",$H$4=#REF!),BDI!$G$17,IF(AND(#REF!="Diferenciado",$H$4=#REF!),BDI!$H$17,IF(#REF!="ZERO",0))))),"")</f>
        <v>#REF!</v>
      </c>
      <c r="H733" s="161" t="str">
        <f t="shared" si="34"/>
        <v/>
      </c>
      <c r="I733" s="159" t="str">
        <f t="shared" si="35"/>
        <v/>
      </c>
    </row>
    <row r="734" spans="1:9" hidden="1" x14ac:dyDescent="0.25">
      <c r="A734" s="102" t="s">
        <v>3803</v>
      </c>
      <c r="B734" s="103" t="s">
        <v>3804</v>
      </c>
      <c r="C734" s="104" t="s">
        <v>32</v>
      </c>
      <c r="D734" s="104">
        <v>0</v>
      </c>
      <c r="E734" s="158" t="s">
        <v>1079</v>
      </c>
      <c r="F734" s="159" t="str">
        <f t="shared" si="33"/>
        <v/>
      </c>
      <c r="G734" s="160" t="e">
        <f>IF(A734&lt;&gt;"",IF(AND(#REF!="Padrão",$H$4=#REF!),BDI!$B$17,IF(AND(#REF!="Padrão",$H$4=#REF!),BDI!$C$17,IF(AND(#REF!="Diferenciado",$H$4=#REF!),BDI!$G$17,IF(AND(#REF!="Diferenciado",$H$4=#REF!),BDI!$H$17,IF(#REF!="ZERO",0))))),"")</f>
        <v>#REF!</v>
      </c>
      <c r="H734" s="161" t="str">
        <f t="shared" si="34"/>
        <v/>
      </c>
      <c r="I734" s="159" t="str">
        <f t="shared" si="35"/>
        <v/>
      </c>
    </row>
    <row r="735" spans="1:9" hidden="1" x14ac:dyDescent="0.25">
      <c r="A735" s="102" t="s">
        <v>3805</v>
      </c>
      <c r="B735" s="103" t="s">
        <v>3806</v>
      </c>
      <c r="C735" s="104" t="s">
        <v>32</v>
      </c>
      <c r="D735" s="104">
        <v>0</v>
      </c>
      <c r="E735" s="158" t="s">
        <v>1079</v>
      </c>
      <c r="F735" s="159" t="str">
        <f t="shared" si="33"/>
        <v/>
      </c>
      <c r="G735" s="160" t="e">
        <f>IF(A735&lt;&gt;"",IF(AND(#REF!="Padrão",$H$4=#REF!),BDI!$B$17,IF(AND(#REF!="Padrão",$H$4=#REF!),BDI!$C$17,IF(AND(#REF!="Diferenciado",$H$4=#REF!),BDI!$G$17,IF(AND(#REF!="Diferenciado",$H$4=#REF!),BDI!$H$17,IF(#REF!="ZERO",0))))),"")</f>
        <v>#REF!</v>
      </c>
      <c r="H735" s="161" t="str">
        <f t="shared" si="34"/>
        <v/>
      </c>
      <c r="I735" s="159" t="str">
        <f t="shared" si="35"/>
        <v/>
      </c>
    </row>
    <row r="736" spans="1:9" hidden="1" x14ac:dyDescent="0.25">
      <c r="A736" s="102" t="s">
        <v>3807</v>
      </c>
      <c r="B736" s="103" t="s">
        <v>3808</v>
      </c>
      <c r="C736" s="104" t="s">
        <v>32</v>
      </c>
      <c r="D736" s="104">
        <v>0</v>
      </c>
      <c r="E736" s="158" t="s">
        <v>1079</v>
      </c>
      <c r="F736" s="159" t="str">
        <f t="shared" si="33"/>
        <v/>
      </c>
      <c r="G736" s="160" t="e">
        <f>IF(A736&lt;&gt;"",IF(AND(#REF!="Padrão",$H$4=#REF!),BDI!$B$17,IF(AND(#REF!="Padrão",$H$4=#REF!),BDI!$C$17,IF(AND(#REF!="Diferenciado",$H$4=#REF!),BDI!$G$17,IF(AND(#REF!="Diferenciado",$H$4=#REF!),BDI!$H$17,IF(#REF!="ZERO",0))))),"")</f>
        <v>#REF!</v>
      </c>
      <c r="H736" s="161" t="str">
        <f t="shared" si="34"/>
        <v/>
      </c>
      <c r="I736" s="159" t="str">
        <f t="shared" si="35"/>
        <v/>
      </c>
    </row>
    <row r="737" spans="1:9" hidden="1" x14ac:dyDescent="0.25">
      <c r="A737" s="102" t="s">
        <v>3809</v>
      </c>
      <c r="B737" s="103" t="s">
        <v>3810</v>
      </c>
      <c r="C737" s="104" t="s">
        <v>32</v>
      </c>
      <c r="D737" s="104">
        <v>0</v>
      </c>
      <c r="E737" s="158" t="s">
        <v>1079</v>
      </c>
      <c r="F737" s="159" t="str">
        <f t="shared" si="33"/>
        <v/>
      </c>
      <c r="G737" s="160" t="e">
        <f>IF(A737&lt;&gt;"",IF(AND(#REF!="Padrão",$H$4=#REF!),BDI!$B$17,IF(AND(#REF!="Padrão",$H$4=#REF!),BDI!$C$17,IF(AND(#REF!="Diferenciado",$H$4=#REF!),BDI!$G$17,IF(AND(#REF!="Diferenciado",$H$4=#REF!),BDI!$H$17,IF(#REF!="ZERO",0))))),"")</f>
        <v>#REF!</v>
      </c>
      <c r="H737" s="161" t="str">
        <f t="shared" si="34"/>
        <v/>
      </c>
      <c r="I737" s="159" t="str">
        <f t="shared" si="35"/>
        <v/>
      </c>
    </row>
    <row r="738" spans="1:9" hidden="1" x14ac:dyDescent="0.25">
      <c r="A738" s="102" t="s">
        <v>3811</v>
      </c>
      <c r="B738" s="103" t="s">
        <v>3812</v>
      </c>
      <c r="C738" s="104" t="s">
        <v>32</v>
      </c>
      <c r="D738" s="104">
        <v>0</v>
      </c>
      <c r="E738" s="158" t="s">
        <v>1079</v>
      </c>
      <c r="F738" s="159" t="str">
        <f t="shared" si="33"/>
        <v/>
      </c>
      <c r="G738" s="160" t="e">
        <f>IF(A738&lt;&gt;"",IF(AND(#REF!="Padrão",$H$4=#REF!),BDI!$B$17,IF(AND(#REF!="Padrão",$H$4=#REF!),BDI!$C$17,IF(AND(#REF!="Diferenciado",$H$4=#REF!),BDI!$G$17,IF(AND(#REF!="Diferenciado",$H$4=#REF!),BDI!$H$17,IF(#REF!="ZERO",0))))),"")</f>
        <v>#REF!</v>
      </c>
      <c r="H738" s="161" t="str">
        <f t="shared" si="34"/>
        <v/>
      </c>
      <c r="I738" s="159" t="str">
        <f t="shared" si="35"/>
        <v/>
      </c>
    </row>
    <row r="739" spans="1:9" hidden="1" x14ac:dyDescent="0.25">
      <c r="A739" s="102" t="s">
        <v>3813</v>
      </c>
      <c r="B739" s="103" t="s">
        <v>3814</v>
      </c>
      <c r="C739" s="104" t="s">
        <v>32</v>
      </c>
      <c r="D739" s="104">
        <v>0</v>
      </c>
      <c r="E739" s="158" t="s">
        <v>1079</v>
      </c>
      <c r="F739" s="159" t="str">
        <f t="shared" si="33"/>
        <v/>
      </c>
      <c r="G739" s="160" t="e">
        <f>IF(A739&lt;&gt;"",IF(AND(#REF!="Padrão",$H$4=#REF!),BDI!$B$17,IF(AND(#REF!="Padrão",$H$4=#REF!),BDI!$C$17,IF(AND(#REF!="Diferenciado",$H$4=#REF!),BDI!$G$17,IF(AND(#REF!="Diferenciado",$H$4=#REF!),BDI!$H$17,IF(#REF!="ZERO",0))))),"")</f>
        <v>#REF!</v>
      </c>
      <c r="H739" s="161" t="str">
        <f t="shared" si="34"/>
        <v/>
      </c>
      <c r="I739" s="159" t="str">
        <f t="shared" si="35"/>
        <v/>
      </c>
    </row>
    <row r="740" spans="1:9" hidden="1" x14ac:dyDescent="0.25">
      <c r="A740" s="102" t="s">
        <v>3815</v>
      </c>
      <c r="B740" s="103" t="s">
        <v>3816</v>
      </c>
      <c r="C740" s="104" t="s">
        <v>32</v>
      </c>
      <c r="D740" s="104">
        <v>0</v>
      </c>
      <c r="E740" s="158" t="s">
        <v>1079</v>
      </c>
      <c r="F740" s="159" t="str">
        <f t="shared" si="33"/>
        <v/>
      </c>
      <c r="G740" s="160" t="e">
        <f>IF(A740&lt;&gt;"",IF(AND(#REF!="Padrão",$H$4=#REF!),BDI!$B$17,IF(AND(#REF!="Padrão",$H$4=#REF!),BDI!$C$17,IF(AND(#REF!="Diferenciado",$H$4=#REF!),BDI!$G$17,IF(AND(#REF!="Diferenciado",$H$4=#REF!),BDI!$H$17,IF(#REF!="ZERO",0))))),"")</f>
        <v>#REF!</v>
      </c>
      <c r="H740" s="161" t="str">
        <f t="shared" si="34"/>
        <v/>
      </c>
      <c r="I740" s="159" t="str">
        <f t="shared" si="35"/>
        <v/>
      </c>
    </row>
    <row r="741" spans="1:9" hidden="1" x14ac:dyDescent="0.25">
      <c r="A741" s="102" t="s">
        <v>3817</v>
      </c>
      <c r="B741" s="103" t="s">
        <v>3818</v>
      </c>
      <c r="C741" s="104" t="s">
        <v>32</v>
      </c>
      <c r="D741" s="104">
        <v>0</v>
      </c>
      <c r="E741" s="158" t="s">
        <v>1079</v>
      </c>
      <c r="F741" s="159" t="str">
        <f t="shared" si="33"/>
        <v/>
      </c>
      <c r="G741" s="160" t="e">
        <f>IF(A741&lt;&gt;"",IF(AND(#REF!="Padrão",$H$4=#REF!),BDI!$B$17,IF(AND(#REF!="Padrão",$H$4=#REF!),BDI!$C$17,IF(AND(#REF!="Diferenciado",$H$4=#REF!),BDI!$G$17,IF(AND(#REF!="Diferenciado",$H$4=#REF!),BDI!$H$17,IF(#REF!="ZERO",0))))),"")</f>
        <v>#REF!</v>
      </c>
      <c r="H741" s="161" t="str">
        <f t="shared" si="34"/>
        <v/>
      </c>
      <c r="I741" s="159" t="str">
        <f t="shared" si="35"/>
        <v/>
      </c>
    </row>
    <row r="742" spans="1:9" hidden="1" x14ac:dyDescent="0.25">
      <c r="A742" s="102" t="s">
        <v>3819</v>
      </c>
      <c r="B742" s="103" t="s">
        <v>3820</v>
      </c>
      <c r="C742" s="104" t="s">
        <v>32</v>
      </c>
      <c r="D742" s="104">
        <v>0</v>
      </c>
      <c r="E742" s="158" t="s">
        <v>1079</v>
      </c>
      <c r="F742" s="159" t="str">
        <f t="shared" si="33"/>
        <v/>
      </c>
      <c r="G742" s="160" t="e">
        <f>IF(A742&lt;&gt;"",IF(AND(#REF!="Padrão",$H$4=#REF!),BDI!$B$17,IF(AND(#REF!="Padrão",$H$4=#REF!),BDI!$C$17,IF(AND(#REF!="Diferenciado",$H$4=#REF!),BDI!$G$17,IF(AND(#REF!="Diferenciado",$H$4=#REF!),BDI!$H$17,IF(#REF!="ZERO",0))))),"")</f>
        <v>#REF!</v>
      </c>
      <c r="H742" s="161" t="str">
        <f t="shared" si="34"/>
        <v/>
      </c>
      <c r="I742" s="159" t="str">
        <f t="shared" si="35"/>
        <v/>
      </c>
    </row>
    <row r="743" spans="1:9" hidden="1" x14ac:dyDescent="0.25">
      <c r="A743" s="102" t="s">
        <v>3821</v>
      </c>
      <c r="B743" s="103" t="s">
        <v>3822</v>
      </c>
      <c r="C743" s="104" t="s">
        <v>32</v>
      </c>
      <c r="D743" s="104">
        <v>0</v>
      </c>
      <c r="E743" s="158" t="s">
        <v>1079</v>
      </c>
      <c r="F743" s="159" t="str">
        <f t="shared" si="33"/>
        <v/>
      </c>
      <c r="G743" s="160" t="e">
        <f>IF(A743&lt;&gt;"",IF(AND(#REF!="Padrão",$H$4=#REF!),BDI!$B$17,IF(AND(#REF!="Padrão",$H$4=#REF!),BDI!$C$17,IF(AND(#REF!="Diferenciado",$H$4=#REF!),BDI!$G$17,IF(AND(#REF!="Diferenciado",$H$4=#REF!),BDI!$H$17,IF(#REF!="ZERO",0))))),"")</f>
        <v>#REF!</v>
      </c>
      <c r="H743" s="161" t="str">
        <f t="shared" si="34"/>
        <v/>
      </c>
      <c r="I743" s="159" t="str">
        <f t="shared" si="35"/>
        <v/>
      </c>
    </row>
    <row r="744" spans="1:9" hidden="1" x14ac:dyDescent="0.25">
      <c r="A744" s="102" t="s">
        <v>3823</v>
      </c>
      <c r="B744" s="103" t="s">
        <v>3824</v>
      </c>
      <c r="C744" s="104" t="s">
        <v>32</v>
      </c>
      <c r="D744" s="104">
        <v>0</v>
      </c>
      <c r="E744" s="158" t="s">
        <v>1079</v>
      </c>
      <c r="F744" s="159" t="str">
        <f t="shared" si="33"/>
        <v/>
      </c>
      <c r="G744" s="160" t="e">
        <f>IF(A744&lt;&gt;"",IF(AND(#REF!="Padrão",$H$4=#REF!),BDI!$B$17,IF(AND(#REF!="Padrão",$H$4=#REF!),BDI!$C$17,IF(AND(#REF!="Diferenciado",$H$4=#REF!),BDI!$G$17,IF(AND(#REF!="Diferenciado",$H$4=#REF!),BDI!$H$17,IF(#REF!="ZERO",0))))),"")</f>
        <v>#REF!</v>
      </c>
      <c r="H744" s="161" t="str">
        <f t="shared" si="34"/>
        <v/>
      </c>
      <c r="I744" s="159" t="str">
        <f t="shared" si="35"/>
        <v/>
      </c>
    </row>
    <row r="745" spans="1:9" hidden="1" x14ac:dyDescent="0.25">
      <c r="A745" s="102" t="s">
        <v>3825</v>
      </c>
      <c r="B745" s="103" t="s">
        <v>3826</v>
      </c>
      <c r="C745" s="104" t="s">
        <v>32</v>
      </c>
      <c r="D745" s="104">
        <v>0</v>
      </c>
      <c r="E745" s="158" t="s">
        <v>1079</v>
      </c>
      <c r="F745" s="159" t="str">
        <f t="shared" si="33"/>
        <v/>
      </c>
      <c r="G745" s="160" t="e">
        <f>IF(A745&lt;&gt;"",IF(AND(#REF!="Padrão",$H$4=#REF!),BDI!$B$17,IF(AND(#REF!="Padrão",$H$4=#REF!),BDI!$C$17,IF(AND(#REF!="Diferenciado",$H$4=#REF!),BDI!$G$17,IF(AND(#REF!="Diferenciado",$H$4=#REF!),BDI!$H$17,IF(#REF!="ZERO",0))))),"")</f>
        <v>#REF!</v>
      </c>
      <c r="H745" s="161" t="str">
        <f t="shared" si="34"/>
        <v/>
      </c>
      <c r="I745" s="159" t="str">
        <f t="shared" si="35"/>
        <v/>
      </c>
    </row>
    <row r="746" spans="1:9" hidden="1" x14ac:dyDescent="0.25">
      <c r="A746" s="102" t="s">
        <v>3827</v>
      </c>
      <c r="B746" s="103" t="s">
        <v>3828</v>
      </c>
      <c r="C746" s="104" t="s">
        <v>32</v>
      </c>
      <c r="D746" s="104">
        <v>0</v>
      </c>
      <c r="E746" s="158" t="s">
        <v>1079</v>
      </c>
      <c r="F746" s="159" t="str">
        <f t="shared" si="33"/>
        <v/>
      </c>
      <c r="G746" s="160" t="e">
        <f>IF(A746&lt;&gt;"",IF(AND(#REF!="Padrão",$H$4=#REF!),BDI!$B$17,IF(AND(#REF!="Padrão",$H$4=#REF!),BDI!$C$17,IF(AND(#REF!="Diferenciado",$H$4=#REF!),BDI!$G$17,IF(AND(#REF!="Diferenciado",$H$4=#REF!),BDI!$H$17,IF(#REF!="ZERO",0))))),"")</f>
        <v>#REF!</v>
      </c>
      <c r="H746" s="161" t="str">
        <f t="shared" si="34"/>
        <v/>
      </c>
      <c r="I746" s="159" t="str">
        <f t="shared" si="35"/>
        <v/>
      </c>
    </row>
    <row r="747" spans="1:9" hidden="1" x14ac:dyDescent="0.25">
      <c r="A747" s="102" t="s">
        <v>3829</v>
      </c>
      <c r="B747" s="103" t="s">
        <v>3830</v>
      </c>
      <c r="C747" s="104" t="s">
        <v>32</v>
      </c>
      <c r="D747" s="104">
        <v>0</v>
      </c>
      <c r="E747" s="158" t="s">
        <v>1079</v>
      </c>
      <c r="F747" s="159" t="str">
        <f t="shared" si="33"/>
        <v/>
      </c>
      <c r="G747" s="160" t="e">
        <f>IF(A747&lt;&gt;"",IF(AND(#REF!="Padrão",$H$4=#REF!),BDI!$B$17,IF(AND(#REF!="Padrão",$H$4=#REF!),BDI!$C$17,IF(AND(#REF!="Diferenciado",$H$4=#REF!),BDI!$G$17,IF(AND(#REF!="Diferenciado",$H$4=#REF!),BDI!$H$17,IF(#REF!="ZERO",0))))),"")</f>
        <v>#REF!</v>
      </c>
      <c r="H747" s="161" t="str">
        <f t="shared" si="34"/>
        <v/>
      </c>
      <c r="I747" s="159" t="str">
        <f t="shared" si="35"/>
        <v/>
      </c>
    </row>
    <row r="748" spans="1:9" hidden="1" x14ac:dyDescent="0.25">
      <c r="A748" s="102" t="s">
        <v>3831</v>
      </c>
      <c r="B748" s="103" t="s">
        <v>3832</v>
      </c>
      <c r="C748" s="104" t="s">
        <v>32</v>
      </c>
      <c r="D748" s="104">
        <v>0</v>
      </c>
      <c r="E748" s="158" t="s">
        <v>1079</v>
      </c>
      <c r="F748" s="159" t="str">
        <f t="shared" si="33"/>
        <v/>
      </c>
      <c r="G748" s="160" t="e">
        <f>IF(A748&lt;&gt;"",IF(AND(#REF!="Padrão",$H$4=#REF!),BDI!$B$17,IF(AND(#REF!="Padrão",$H$4=#REF!),BDI!$C$17,IF(AND(#REF!="Diferenciado",$H$4=#REF!),BDI!$G$17,IF(AND(#REF!="Diferenciado",$H$4=#REF!),BDI!$H$17,IF(#REF!="ZERO",0))))),"")</f>
        <v>#REF!</v>
      </c>
      <c r="H748" s="161" t="str">
        <f t="shared" si="34"/>
        <v/>
      </c>
      <c r="I748" s="159" t="str">
        <f t="shared" si="35"/>
        <v/>
      </c>
    </row>
    <row r="749" spans="1:9" hidden="1" x14ac:dyDescent="0.25">
      <c r="A749" s="102" t="s">
        <v>3833</v>
      </c>
      <c r="B749" s="103" t="s">
        <v>3834</v>
      </c>
      <c r="C749" s="104" t="s">
        <v>32</v>
      </c>
      <c r="D749" s="104">
        <v>0</v>
      </c>
      <c r="E749" s="158" t="s">
        <v>1079</v>
      </c>
      <c r="F749" s="159" t="str">
        <f t="shared" si="33"/>
        <v/>
      </c>
      <c r="G749" s="160" t="e">
        <f>IF(A749&lt;&gt;"",IF(AND(#REF!="Padrão",$H$4=#REF!),BDI!$B$17,IF(AND(#REF!="Padrão",$H$4=#REF!),BDI!$C$17,IF(AND(#REF!="Diferenciado",$H$4=#REF!),BDI!$G$17,IF(AND(#REF!="Diferenciado",$H$4=#REF!),BDI!$H$17,IF(#REF!="ZERO",0))))),"")</f>
        <v>#REF!</v>
      </c>
      <c r="H749" s="161" t="str">
        <f t="shared" si="34"/>
        <v/>
      </c>
      <c r="I749" s="159" t="str">
        <f t="shared" si="35"/>
        <v/>
      </c>
    </row>
    <row r="750" spans="1:9" hidden="1" x14ac:dyDescent="0.25">
      <c r="A750" s="102" t="s">
        <v>3835</v>
      </c>
      <c r="B750" s="103" t="s">
        <v>3836</v>
      </c>
      <c r="C750" s="104" t="s">
        <v>32</v>
      </c>
      <c r="D750" s="104">
        <v>0</v>
      </c>
      <c r="E750" s="158" t="s">
        <v>1079</v>
      </c>
      <c r="F750" s="159" t="str">
        <f t="shared" si="33"/>
        <v/>
      </c>
      <c r="G750" s="160" t="e">
        <f>IF(A750&lt;&gt;"",IF(AND(#REF!="Padrão",$H$4=#REF!),BDI!$B$17,IF(AND(#REF!="Padrão",$H$4=#REF!),BDI!$C$17,IF(AND(#REF!="Diferenciado",$H$4=#REF!),BDI!$G$17,IF(AND(#REF!="Diferenciado",$H$4=#REF!),BDI!$H$17,IF(#REF!="ZERO",0))))),"")</f>
        <v>#REF!</v>
      </c>
      <c r="H750" s="161" t="str">
        <f t="shared" si="34"/>
        <v/>
      </c>
      <c r="I750" s="159" t="str">
        <f t="shared" si="35"/>
        <v/>
      </c>
    </row>
    <row r="751" spans="1:9" hidden="1" x14ac:dyDescent="0.25">
      <c r="A751" s="102" t="s">
        <v>3837</v>
      </c>
      <c r="B751" s="103" t="s">
        <v>3838</v>
      </c>
      <c r="C751" s="104" t="s">
        <v>32</v>
      </c>
      <c r="D751" s="104">
        <v>0</v>
      </c>
      <c r="E751" s="158" t="s">
        <v>1079</v>
      </c>
      <c r="F751" s="159" t="str">
        <f t="shared" si="33"/>
        <v/>
      </c>
      <c r="G751" s="160" t="e">
        <f>IF(A751&lt;&gt;"",IF(AND(#REF!="Padrão",$H$4=#REF!),BDI!$B$17,IF(AND(#REF!="Padrão",$H$4=#REF!),BDI!$C$17,IF(AND(#REF!="Diferenciado",$H$4=#REF!),BDI!$G$17,IF(AND(#REF!="Diferenciado",$H$4=#REF!),BDI!$H$17,IF(#REF!="ZERO",0))))),"")</f>
        <v>#REF!</v>
      </c>
      <c r="H751" s="161" t="str">
        <f t="shared" si="34"/>
        <v/>
      </c>
      <c r="I751" s="159" t="str">
        <f t="shared" si="35"/>
        <v/>
      </c>
    </row>
    <row r="752" spans="1:9" hidden="1" x14ac:dyDescent="0.25">
      <c r="A752" s="102" t="s">
        <v>3839</v>
      </c>
      <c r="B752" s="103" t="s">
        <v>3840</v>
      </c>
      <c r="C752" s="104" t="s">
        <v>32</v>
      </c>
      <c r="D752" s="104">
        <v>0</v>
      </c>
      <c r="E752" s="158" t="s">
        <v>1079</v>
      </c>
      <c r="F752" s="159" t="str">
        <f t="shared" si="33"/>
        <v/>
      </c>
      <c r="G752" s="160" t="e">
        <f>IF(A752&lt;&gt;"",IF(AND(#REF!="Padrão",$H$4=#REF!),BDI!$B$17,IF(AND(#REF!="Padrão",$H$4=#REF!),BDI!$C$17,IF(AND(#REF!="Diferenciado",$H$4=#REF!),BDI!$G$17,IF(AND(#REF!="Diferenciado",$H$4=#REF!),BDI!$H$17,IF(#REF!="ZERO",0))))),"")</f>
        <v>#REF!</v>
      </c>
      <c r="H752" s="161" t="str">
        <f t="shared" si="34"/>
        <v/>
      </c>
      <c r="I752" s="159" t="str">
        <f t="shared" si="35"/>
        <v/>
      </c>
    </row>
    <row r="753" spans="1:9" hidden="1" x14ac:dyDescent="0.25">
      <c r="A753" s="102" t="s">
        <v>3841</v>
      </c>
      <c r="B753" s="103" t="s">
        <v>3842</v>
      </c>
      <c r="C753" s="104" t="s">
        <v>32</v>
      </c>
      <c r="D753" s="104">
        <v>0</v>
      </c>
      <c r="E753" s="158" t="s">
        <v>1079</v>
      </c>
      <c r="F753" s="159" t="str">
        <f t="shared" si="33"/>
        <v/>
      </c>
      <c r="G753" s="160" t="e">
        <f>IF(A753&lt;&gt;"",IF(AND(#REF!="Padrão",$H$4=#REF!),BDI!$B$17,IF(AND(#REF!="Padrão",$H$4=#REF!),BDI!$C$17,IF(AND(#REF!="Diferenciado",$H$4=#REF!),BDI!$G$17,IF(AND(#REF!="Diferenciado",$H$4=#REF!),BDI!$H$17,IF(#REF!="ZERO",0))))),"")</f>
        <v>#REF!</v>
      </c>
      <c r="H753" s="161" t="str">
        <f t="shared" si="34"/>
        <v/>
      </c>
      <c r="I753" s="159" t="str">
        <f t="shared" si="35"/>
        <v/>
      </c>
    </row>
    <row r="754" spans="1:9" hidden="1" x14ac:dyDescent="0.25">
      <c r="A754" s="102" t="s">
        <v>3843</v>
      </c>
      <c r="B754" s="103" t="s">
        <v>3844</v>
      </c>
      <c r="C754" s="104" t="s">
        <v>32</v>
      </c>
      <c r="D754" s="104">
        <v>0</v>
      </c>
      <c r="E754" s="158" t="s">
        <v>1079</v>
      </c>
      <c r="F754" s="159" t="str">
        <f t="shared" si="33"/>
        <v/>
      </c>
      <c r="G754" s="160" t="e">
        <f>IF(A754&lt;&gt;"",IF(AND(#REF!="Padrão",$H$4=#REF!),BDI!$B$17,IF(AND(#REF!="Padrão",$H$4=#REF!),BDI!$C$17,IF(AND(#REF!="Diferenciado",$H$4=#REF!),BDI!$G$17,IF(AND(#REF!="Diferenciado",$H$4=#REF!),BDI!$H$17,IF(#REF!="ZERO",0))))),"")</f>
        <v>#REF!</v>
      </c>
      <c r="H754" s="161" t="str">
        <f t="shared" si="34"/>
        <v/>
      </c>
      <c r="I754" s="159" t="str">
        <f t="shared" si="35"/>
        <v/>
      </c>
    </row>
    <row r="755" spans="1:9" hidden="1" x14ac:dyDescent="0.25">
      <c r="A755" s="102" t="s">
        <v>3845</v>
      </c>
      <c r="B755" s="103" t="s">
        <v>3846</v>
      </c>
      <c r="C755" s="104" t="s">
        <v>32</v>
      </c>
      <c r="D755" s="104">
        <v>0</v>
      </c>
      <c r="E755" s="158" t="s">
        <v>1079</v>
      </c>
      <c r="F755" s="159" t="str">
        <f t="shared" si="33"/>
        <v/>
      </c>
      <c r="G755" s="160" t="e">
        <f>IF(A755&lt;&gt;"",IF(AND(#REF!="Padrão",$H$4=#REF!),BDI!$B$17,IF(AND(#REF!="Padrão",$H$4=#REF!),BDI!$C$17,IF(AND(#REF!="Diferenciado",$H$4=#REF!),BDI!$G$17,IF(AND(#REF!="Diferenciado",$H$4=#REF!),BDI!$H$17,IF(#REF!="ZERO",0))))),"")</f>
        <v>#REF!</v>
      </c>
      <c r="H755" s="161" t="str">
        <f t="shared" si="34"/>
        <v/>
      </c>
      <c r="I755" s="159" t="str">
        <f t="shared" si="35"/>
        <v/>
      </c>
    </row>
    <row r="756" spans="1:9" hidden="1" x14ac:dyDescent="0.25">
      <c r="A756" s="102" t="s">
        <v>3847</v>
      </c>
      <c r="B756" s="103" t="s">
        <v>3848</v>
      </c>
      <c r="C756" s="104" t="s">
        <v>32</v>
      </c>
      <c r="D756" s="104">
        <v>0</v>
      </c>
      <c r="E756" s="158" t="s">
        <v>1079</v>
      </c>
      <c r="F756" s="159" t="str">
        <f t="shared" si="33"/>
        <v/>
      </c>
      <c r="G756" s="160" t="e">
        <f>IF(A756&lt;&gt;"",IF(AND(#REF!="Padrão",$H$4=#REF!),BDI!$B$17,IF(AND(#REF!="Padrão",$H$4=#REF!),BDI!$C$17,IF(AND(#REF!="Diferenciado",$H$4=#REF!),BDI!$G$17,IF(AND(#REF!="Diferenciado",$H$4=#REF!),BDI!$H$17,IF(#REF!="ZERO",0))))),"")</f>
        <v>#REF!</v>
      </c>
      <c r="H756" s="161" t="str">
        <f t="shared" si="34"/>
        <v/>
      </c>
      <c r="I756" s="159" t="str">
        <f t="shared" si="35"/>
        <v/>
      </c>
    </row>
    <row r="757" spans="1:9" hidden="1" x14ac:dyDescent="0.25">
      <c r="A757" s="102" t="s">
        <v>3849</v>
      </c>
      <c r="B757" s="103" t="s">
        <v>3850</v>
      </c>
      <c r="C757" s="104" t="s">
        <v>32</v>
      </c>
      <c r="D757" s="104">
        <v>0</v>
      </c>
      <c r="E757" s="158" t="s">
        <v>1079</v>
      </c>
      <c r="F757" s="159" t="str">
        <f t="shared" si="33"/>
        <v/>
      </c>
      <c r="G757" s="160" t="e">
        <f>IF(A757&lt;&gt;"",IF(AND(#REF!="Padrão",$H$4=#REF!),BDI!$B$17,IF(AND(#REF!="Padrão",$H$4=#REF!),BDI!$C$17,IF(AND(#REF!="Diferenciado",$H$4=#REF!),BDI!$G$17,IF(AND(#REF!="Diferenciado",$H$4=#REF!),BDI!$H$17,IF(#REF!="ZERO",0))))),"")</f>
        <v>#REF!</v>
      </c>
      <c r="H757" s="161" t="str">
        <f t="shared" si="34"/>
        <v/>
      </c>
      <c r="I757" s="159" t="str">
        <f t="shared" si="35"/>
        <v/>
      </c>
    </row>
    <row r="758" spans="1:9" hidden="1" x14ac:dyDescent="0.25">
      <c r="A758" s="102" t="s">
        <v>3851</v>
      </c>
      <c r="B758" s="103" t="s">
        <v>3852</v>
      </c>
      <c r="C758" s="104" t="s">
        <v>32</v>
      </c>
      <c r="D758" s="104">
        <v>0</v>
      </c>
      <c r="E758" s="158" t="s">
        <v>1079</v>
      </c>
      <c r="F758" s="159" t="str">
        <f t="shared" si="33"/>
        <v/>
      </c>
      <c r="G758" s="160" t="e">
        <f>IF(A758&lt;&gt;"",IF(AND(#REF!="Padrão",$H$4=#REF!),BDI!$B$17,IF(AND(#REF!="Padrão",$H$4=#REF!),BDI!$C$17,IF(AND(#REF!="Diferenciado",$H$4=#REF!),BDI!$G$17,IF(AND(#REF!="Diferenciado",$H$4=#REF!),BDI!$H$17,IF(#REF!="ZERO",0))))),"")</f>
        <v>#REF!</v>
      </c>
      <c r="H758" s="161" t="str">
        <f t="shared" si="34"/>
        <v/>
      </c>
      <c r="I758" s="159" t="str">
        <f t="shared" si="35"/>
        <v/>
      </c>
    </row>
    <row r="759" spans="1:9" hidden="1" x14ac:dyDescent="0.25">
      <c r="A759" s="102" t="s">
        <v>3853</v>
      </c>
      <c r="B759" s="103" t="s">
        <v>3854</v>
      </c>
      <c r="C759" s="104" t="s">
        <v>32</v>
      </c>
      <c r="D759" s="104">
        <v>0</v>
      </c>
      <c r="E759" s="158" t="s">
        <v>1079</v>
      </c>
      <c r="F759" s="159" t="str">
        <f t="shared" si="33"/>
        <v/>
      </c>
      <c r="G759" s="160" t="e">
        <f>IF(A759&lt;&gt;"",IF(AND(#REF!="Padrão",$H$4=#REF!),BDI!$B$17,IF(AND(#REF!="Padrão",$H$4=#REF!),BDI!$C$17,IF(AND(#REF!="Diferenciado",$H$4=#REF!),BDI!$G$17,IF(AND(#REF!="Diferenciado",$H$4=#REF!),BDI!$H$17,IF(#REF!="ZERO",0))))),"")</f>
        <v>#REF!</v>
      </c>
      <c r="H759" s="161" t="str">
        <f t="shared" si="34"/>
        <v/>
      </c>
      <c r="I759" s="159" t="str">
        <f t="shared" si="35"/>
        <v/>
      </c>
    </row>
    <row r="760" spans="1:9" hidden="1" x14ac:dyDescent="0.25">
      <c r="A760" s="102" t="s">
        <v>3855</v>
      </c>
      <c r="B760" s="103" t="s">
        <v>3856</v>
      </c>
      <c r="C760" s="104" t="s">
        <v>32</v>
      </c>
      <c r="D760" s="104">
        <v>0</v>
      </c>
      <c r="E760" s="158" t="s">
        <v>1079</v>
      </c>
      <c r="F760" s="159" t="str">
        <f t="shared" si="33"/>
        <v/>
      </c>
      <c r="G760" s="160" t="e">
        <f>IF(A760&lt;&gt;"",IF(AND(#REF!="Padrão",$H$4=#REF!),BDI!$B$17,IF(AND(#REF!="Padrão",$H$4=#REF!),BDI!$C$17,IF(AND(#REF!="Diferenciado",$H$4=#REF!),BDI!$G$17,IF(AND(#REF!="Diferenciado",$H$4=#REF!),BDI!$H$17,IF(#REF!="ZERO",0))))),"")</f>
        <v>#REF!</v>
      </c>
      <c r="H760" s="161" t="str">
        <f t="shared" si="34"/>
        <v/>
      </c>
      <c r="I760" s="159" t="str">
        <f t="shared" si="35"/>
        <v/>
      </c>
    </row>
    <row r="761" spans="1:9" hidden="1" x14ac:dyDescent="0.25">
      <c r="A761" s="102" t="s">
        <v>3857</v>
      </c>
      <c r="B761" s="103" t="s">
        <v>3858</v>
      </c>
      <c r="C761" s="104" t="s">
        <v>32</v>
      </c>
      <c r="D761" s="104">
        <v>0</v>
      </c>
      <c r="E761" s="158" t="s">
        <v>1079</v>
      </c>
      <c r="F761" s="159" t="str">
        <f t="shared" si="33"/>
        <v/>
      </c>
      <c r="G761" s="160" t="e">
        <f>IF(A761&lt;&gt;"",IF(AND(#REF!="Padrão",$H$4=#REF!),BDI!$B$17,IF(AND(#REF!="Padrão",$H$4=#REF!),BDI!$C$17,IF(AND(#REF!="Diferenciado",$H$4=#REF!),BDI!$G$17,IF(AND(#REF!="Diferenciado",$H$4=#REF!),BDI!$H$17,IF(#REF!="ZERO",0))))),"")</f>
        <v>#REF!</v>
      </c>
      <c r="H761" s="161" t="str">
        <f t="shared" si="34"/>
        <v/>
      </c>
      <c r="I761" s="159" t="str">
        <f t="shared" si="35"/>
        <v/>
      </c>
    </row>
    <row r="762" spans="1:9" hidden="1" x14ac:dyDescent="0.25">
      <c r="A762" s="102" t="s">
        <v>3859</v>
      </c>
      <c r="B762" s="103" t="s">
        <v>3860</v>
      </c>
      <c r="C762" s="104" t="s">
        <v>32</v>
      </c>
      <c r="D762" s="104">
        <v>0</v>
      </c>
      <c r="E762" s="158" t="s">
        <v>1079</v>
      </c>
      <c r="F762" s="159" t="str">
        <f t="shared" si="33"/>
        <v/>
      </c>
      <c r="G762" s="160" t="e">
        <f>IF(A762&lt;&gt;"",IF(AND(#REF!="Padrão",$H$4=#REF!),BDI!$B$17,IF(AND(#REF!="Padrão",$H$4=#REF!),BDI!$C$17,IF(AND(#REF!="Diferenciado",$H$4=#REF!),BDI!$G$17,IF(AND(#REF!="Diferenciado",$H$4=#REF!),BDI!$H$17,IF(#REF!="ZERO",0))))),"")</f>
        <v>#REF!</v>
      </c>
      <c r="H762" s="161" t="str">
        <f t="shared" si="34"/>
        <v/>
      </c>
      <c r="I762" s="159" t="str">
        <f t="shared" si="35"/>
        <v/>
      </c>
    </row>
    <row r="763" spans="1:9" hidden="1" x14ac:dyDescent="0.25">
      <c r="A763" s="102" t="s">
        <v>3861</v>
      </c>
      <c r="B763" s="103" t="s">
        <v>3862</v>
      </c>
      <c r="C763" s="104" t="s">
        <v>32</v>
      </c>
      <c r="D763" s="104">
        <v>0</v>
      </c>
      <c r="E763" s="158" t="s">
        <v>1079</v>
      </c>
      <c r="F763" s="159" t="str">
        <f t="shared" si="33"/>
        <v/>
      </c>
      <c r="G763" s="160" t="e">
        <f>IF(A763&lt;&gt;"",IF(AND(#REF!="Padrão",$H$4=#REF!),BDI!$B$17,IF(AND(#REF!="Padrão",$H$4=#REF!),BDI!$C$17,IF(AND(#REF!="Diferenciado",$H$4=#REF!),BDI!$G$17,IF(AND(#REF!="Diferenciado",$H$4=#REF!),BDI!$H$17,IF(#REF!="ZERO",0))))),"")</f>
        <v>#REF!</v>
      </c>
      <c r="H763" s="161" t="str">
        <f t="shared" si="34"/>
        <v/>
      </c>
      <c r="I763" s="159" t="str">
        <f t="shared" si="35"/>
        <v/>
      </c>
    </row>
    <row r="764" spans="1:9" hidden="1" x14ac:dyDescent="0.25">
      <c r="A764" s="102" t="s">
        <v>3863</v>
      </c>
      <c r="B764" s="103" t="s">
        <v>3864</v>
      </c>
      <c r="C764" s="104" t="s">
        <v>32</v>
      </c>
      <c r="D764" s="104">
        <v>0</v>
      </c>
      <c r="E764" s="158" t="s">
        <v>1079</v>
      </c>
      <c r="F764" s="159" t="str">
        <f t="shared" si="33"/>
        <v/>
      </c>
      <c r="G764" s="160" t="e">
        <f>IF(A764&lt;&gt;"",IF(AND(#REF!="Padrão",$H$4=#REF!),BDI!$B$17,IF(AND(#REF!="Padrão",$H$4=#REF!),BDI!$C$17,IF(AND(#REF!="Diferenciado",$H$4=#REF!),BDI!$G$17,IF(AND(#REF!="Diferenciado",$H$4=#REF!),BDI!$H$17,IF(#REF!="ZERO",0))))),"")</f>
        <v>#REF!</v>
      </c>
      <c r="H764" s="161" t="str">
        <f t="shared" si="34"/>
        <v/>
      </c>
      <c r="I764" s="159" t="str">
        <f t="shared" si="35"/>
        <v/>
      </c>
    </row>
    <row r="765" spans="1:9" hidden="1" x14ac:dyDescent="0.25">
      <c r="A765" s="102" t="s">
        <v>3865</v>
      </c>
      <c r="B765" s="103" t="s">
        <v>3866</v>
      </c>
      <c r="C765" s="104" t="s">
        <v>32</v>
      </c>
      <c r="D765" s="104">
        <v>0</v>
      </c>
      <c r="E765" s="158" t="s">
        <v>1079</v>
      </c>
      <c r="F765" s="159" t="str">
        <f t="shared" si="33"/>
        <v/>
      </c>
      <c r="G765" s="160" t="e">
        <f>IF(A765&lt;&gt;"",IF(AND(#REF!="Padrão",$H$4=#REF!),BDI!$B$17,IF(AND(#REF!="Padrão",$H$4=#REF!),BDI!$C$17,IF(AND(#REF!="Diferenciado",$H$4=#REF!),BDI!$G$17,IF(AND(#REF!="Diferenciado",$H$4=#REF!),BDI!$H$17,IF(#REF!="ZERO",0))))),"")</f>
        <v>#REF!</v>
      </c>
      <c r="H765" s="161" t="str">
        <f t="shared" si="34"/>
        <v/>
      </c>
      <c r="I765" s="159" t="str">
        <f t="shared" si="35"/>
        <v/>
      </c>
    </row>
    <row r="766" spans="1:9" hidden="1" x14ac:dyDescent="0.25">
      <c r="A766" s="102" t="s">
        <v>3867</v>
      </c>
      <c r="B766" s="103" t="s">
        <v>3868</v>
      </c>
      <c r="C766" s="104" t="s">
        <v>32</v>
      </c>
      <c r="D766" s="104">
        <v>0</v>
      </c>
      <c r="E766" s="158" t="s">
        <v>1079</v>
      </c>
      <c r="F766" s="159" t="str">
        <f t="shared" si="33"/>
        <v/>
      </c>
      <c r="G766" s="160" t="e">
        <f>IF(A766&lt;&gt;"",IF(AND(#REF!="Padrão",$H$4=#REF!),BDI!$B$17,IF(AND(#REF!="Padrão",$H$4=#REF!),BDI!$C$17,IF(AND(#REF!="Diferenciado",$H$4=#REF!),BDI!$G$17,IF(AND(#REF!="Diferenciado",$H$4=#REF!),BDI!$H$17,IF(#REF!="ZERO",0))))),"")</f>
        <v>#REF!</v>
      </c>
      <c r="H766" s="161" t="str">
        <f t="shared" si="34"/>
        <v/>
      </c>
      <c r="I766" s="159" t="str">
        <f t="shared" si="35"/>
        <v/>
      </c>
    </row>
    <row r="767" spans="1:9" hidden="1" x14ac:dyDescent="0.25">
      <c r="A767" s="102" t="s">
        <v>3869</v>
      </c>
      <c r="B767" s="103" t="s">
        <v>3870</v>
      </c>
      <c r="C767" s="104" t="s">
        <v>32</v>
      </c>
      <c r="D767" s="104">
        <v>0</v>
      </c>
      <c r="E767" s="158" t="s">
        <v>1079</v>
      </c>
      <c r="F767" s="159" t="str">
        <f t="shared" si="33"/>
        <v/>
      </c>
      <c r="G767" s="160" t="e">
        <f>IF(A767&lt;&gt;"",IF(AND(#REF!="Padrão",$H$4=#REF!),BDI!$B$17,IF(AND(#REF!="Padrão",$H$4=#REF!),BDI!$C$17,IF(AND(#REF!="Diferenciado",$H$4=#REF!),BDI!$G$17,IF(AND(#REF!="Diferenciado",$H$4=#REF!),BDI!$H$17,IF(#REF!="ZERO",0))))),"")</f>
        <v>#REF!</v>
      </c>
      <c r="H767" s="161" t="str">
        <f t="shared" si="34"/>
        <v/>
      </c>
      <c r="I767" s="159" t="str">
        <f t="shared" si="35"/>
        <v/>
      </c>
    </row>
    <row r="768" spans="1:9" hidden="1" x14ac:dyDescent="0.25">
      <c r="A768" s="102" t="s">
        <v>3871</v>
      </c>
      <c r="B768" s="103" t="s">
        <v>3872</v>
      </c>
      <c r="C768" s="104" t="s">
        <v>32</v>
      </c>
      <c r="D768" s="104">
        <v>0</v>
      </c>
      <c r="E768" s="158" t="s">
        <v>1079</v>
      </c>
      <c r="F768" s="159" t="str">
        <f t="shared" si="33"/>
        <v/>
      </c>
      <c r="G768" s="160" t="e">
        <f>IF(A768&lt;&gt;"",IF(AND(#REF!="Padrão",$H$4=#REF!),BDI!$B$17,IF(AND(#REF!="Padrão",$H$4=#REF!),BDI!$C$17,IF(AND(#REF!="Diferenciado",$H$4=#REF!),BDI!$G$17,IF(AND(#REF!="Diferenciado",$H$4=#REF!),BDI!$H$17,IF(#REF!="ZERO",0))))),"")</f>
        <v>#REF!</v>
      </c>
      <c r="H768" s="161" t="str">
        <f t="shared" si="34"/>
        <v/>
      </c>
      <c r="I768" s="159" t="str">
        <f t="shared" si="35"/>
        <v/>
      </c>
    </row>
    <row r="769" spans="1:9" hidden="1" x14ac:dyDescent="0.25">
      <c r="A769" s="102" t="s">
        <v>3873</v>
      </c>
      <c r="B769" s="103" t="s">
        <v>3874</v>
      </c>
      <c r="C769" s="104" t="s">
        <v>32</v>
      </c>
      <c r="D769" s="104">
        <v>0</v>
      </c>
      <c r="E769" s="158" t="s">
        <v>1079</v>
      </c>
      <c r="F769" s="159" t="str">
        <f t="shared" si="33"/>
        <v/>
      </c>
      <c r="G769" s="160" t="e">
        <f>IF(A769&lt;&gt;"",IF(AND(#REF!="Padrão",$H$4=#REF!),BDI!$B$17,IF(AND(#REF!="Padrão",$H$4=#REF!),BDI!$C$17,IF(AND(#REF!="Diferenciado",$H$4=#REF!),BDI!$G$17,IF(AND(#REF!="Diferenciado",$H$4=#REF!),BDI!$H$17,IF(#REF!="ZERO",0))))),"")</f>
        <v>#REF!</v>
      </c>
      <c r="H769" s="161" t="str">
        <f t="shared" si="34"/>
        <v/>
      </c>
      <c r="I769" s="159" t="str">
        <f t="shared" si="35"/>
        <v/>
      </c>
    </row>
    <row r="770" spans="1:9" hidden="1" x14ac:dyDescent="0.25">
      <c r="A770" s="102" t="s">
        <v>3875</v>
      </c>
      <c r="B770" s="103" t="s">
        <v>3876</v>
      </c>
      <c r="C770" s="104" t="s">
        <v>32</v>
      </c>
      <c r="D770" s="104">
        <v>0</v>
      </c>
      <c r="E770" s="158" t="s">
        <v>1079</v>
      </c>
      <c r="F770" s="159" t="str">
        <f t="shared" si="33"/>
        <v/>
      </c>
      <c r="G770" s="160" t="e">
        <f>IF(A770&lt;&gt;"",IF(AND(#REF!="Padrão",$H$4=#REF!),BDI!$B$17,IF(AND(#REF!="Padrão",$H$4=#REF!),BDI!$C$17,IF(AND(#REF!="Diferenciado",$H$4=#REF!),BDI!$G$17,IF(AND(#REF!="Diferenciado",$H$4=#REF!),BDI!$H$17,IF(#REF!="ZERO",0))))),"")</f>
        <v>#REF!</v>
      </c>
      <c r="H770" s="161" t="str">
        <f t="shared" si="34"/>
        <v/>
      </c>
      <c r="I770" s="159" t="str">
        <f t="shared" si="35"/>
        <v/>
      </c>
    </row>
    <row r="771" spans="1:9" hidden="1" x14ac:dyDescent="0.25">
      <c r="A771" s="102" t="s">
        <v>3877</v>
      </c>
      <c r="B771" s="103" t="s">
        <v>3878</v>
      </c>
      <c r="C771" s="104" t="s">
        <v>32</v>
      </c>
      <c r="D771" s="104">
        <v>0</v>
      </c>
      <c r="E771" s="158" t="s">
        <v>1079</v>
      </c>
      <c r="F771" s="159" t="str">
        <f t="shared" si="33"/>
        <v/>
      </c>
      <c r="G771" s="160" t="e">
        <f>IF(A771&lt;&gt;"",IF(AND(#REF!="Padrão",$H$4=#REF!),BDI!$B$17,IF(AND(#REF!="Padrão",$H$4=#REF!),BDI!$C$17,IF(AND(#REF!="Diferenciado",$H$4=#REF!),BDI!$G$17,IF(AND(#REF!="Diferenciado",$H$4=#REF!),BDI!$H$17,IF(#REF!="ZERO",0))))),"")</f>
        <v>#REF!</v>
      </c>
      <c r="H771" s="161" t="str">
        <f t="shared" si="34"/>
        <v/>
      </c>
      <c r="I771" s="159" t="str">
        <f t="shared" si="35"/>
        <v/>
      </c>
    </row>
    <row r="772" spans="1:9" hidden="1" x14ac:dyDescent="0.25">
      <c r="A772" s="102" t="s">
        <v>3879</v>
      </c>
      <c r="B772" s="103" t="s">
        <v>3880</v>
      </c>
      <c r="C772" s="104" t="s">
        <v>32</v>
      </c>
      <c r="D772" s="104">
        <v>0</v>
      </c>
      <c r="E772" s="158" t="s">
        <v>1079</v>
      </c>
      <c r="F772" s="159" t="str">
        <f t="shared" si="33"/>
        <v/>
      </c>
      <c r="G772" s="160" t="e">
        <f>IF(A772&lt;&gt;"",IF(AND(#REF!="Padrão",$H$4=#REF!),BDI!$B$17,IF(AND(#REF!="Padrão",$H$4=#REF!),BDI!$C$17,IF(AND(#REF!="Diferenciado",$H$4=#REF!),BDI!$G$17,IF(AND(#REF!="Diferenciado",$H$4=#REF!),BDI!$H$17,IF(#REF!="ZERO",0))))),"")</f>
        <v>#REF!</v>
      </c>
      <c r="H772" s="161" t="str">
        <f t="shared" si="34"/>
        <v/>
      </c>
      <c r="I772" s="159" t="str">
        <f t="shared" si="35"/>
        <v/>
      </c>
    </row>
    <row r="773" spans="1:9" hidden="1" x14ac:dyDescent="0.25">
      <c r="A773" s="102" t="s">
        <v>3881</v>
      </c>
      <c r="B773" s="103" t="s">
        <v>3882</v>
      </c>
      <c r="C773" s="104" t="s">
        <v>32</v>
      </c>
      <c r="D773" s="104">
        <v>0</v>
      </c>
      <c r="E773" s="158" t="s">
        <v>1079</v>
      </c>
      <c r="F773" s="159" t="str">
        <f t="shared" si="33"/>
        <v/>
      </c>
      <c r="G773" s="160" t="e">
        <f>IF(A773&lt;&gt;"",IF(AND(#REF!="Padrão",$H$4=#REF!),BDI!$B$17,IF(AND(#REF!="Padrão",$H$4=#REF!),BDI!$C$17,IF(AND(#REF!="Diferenciado",$H$4=#REF!),BDI!$G$17,IF(AND(#REF!="Diferenciado",$H$4=#REF!),BDI!$H$17,IF(#REF!="ZERO",0))))),"")</f>
        <v>#REF!</v>
      </c>
      <c r="H773" s="161" t="str">
        <f t="shared" si="34"/>
        <v/>
      </c>
      <c r="I773" s="159" t="str">
        <f t="shared" si="35"/>
        <v/>
      </c>
    </row>
    <row r="774" spans="1:9" hidden="1" x14ac:dyDescent="0.25">
      <c r="A774" s="102" t="s">
        <v>3883</v>
      </c>
      <c r="B774" s="103" t="s">
        <v>3884</v>
      </c>
      <c r="C774" s="104" t="s">
        <v>32</v>
      </c>
      <c r="D774" s="104">
        <v>0</v>
      </c>
      <c r="E774" s="158" t="s">
        <v>1079</v>
      </c>
      <c r="F774" s="159" t="str">
        <f t="shared" si="33"/>
        <v/>
      </c>
      <c r="G774" s="160" t="e">
        <f>IF(A774&lt;&gt;"",IF(AND(#REF!="Padrão",$H$4=#REF!),BDI!$B$17,IF(AND(#REF!="Padrão",$H$4=#REF!),BDI!$C$17,IF(AND(#REF!="Diferenciado",$H$4=#REF!),BDI!$G$17,IF(AND(#REF!="Diferenciado",$H$4=#REF!),BDI!$H$17,IF(#REF!="ZERO",0))))),"")</f>
        <v>#REF!</v>
      </c>
      <c r="H774" s="161" t="str">
        <f t="shared" si="34"/>
        <v/>
      </c>
      <c r="I774" s="159" t="str">
        <f t="shared" si="35"/>
        <v/>
      </c>
    </row>
    <row r="775" spans="1:9" hidden="1" x14ac:dyDescent="0.25">
      <c r="A775" s="102" t="s">
        <v>3885</v>
      </c>
      <c r="B775" s="103" t="s">
        <v>3886</v>
      </c>
      <c r="C775" s="104" t="s">
        <v>32</v>
      </c>
      <c r="D775" s="104">
        <v>0</v>
      </c>
      <c r="E775" s="158" t="s">
        <v>1079</v>
      </c>
      <c r="F775" s="159" t="str">
        <f t="shared" ref="F775:F838" si="36">IF(ISNUMBER(E775),D775*E775,"")</f>
        <v/>
      </c>
      <c r="G775" s="160" t="e">
        <f>IF(A775&lt;&gt;"",IF(AND(#REF!="Padrão",$H$4=#REF!),BDI!$B$17,IF(AND(#REF!="Padrão",$H$4=#REF!),BDI!$C$17,IF(AND(#REF!="Diferenciado",$H$4=#REF!),BDI!$G$17,IF(AND(#REF!="Diferenciado",$H$4=#REF!),BDI!$H$17,IF(#REF!="ZERO",0))))),"")</f>
        <v>#REF!</v>
      </c>
      <c r="H775" s="161" t="str">
        <f t="shared" ref="H775:H838" si="37">IF(ISNUMBER(E775),ROUND(E775*(1+G775),2),"")</f>
        <v/>
      </c>
      <c r="I775" s="159" t="str">
        <f t="shared" ref="I775:I838" si="38">IF(ISNUMBER(E775),ROUND(H775*D775,2),"")</f>
        <v/>
      </c>
    </row>
    <row r="776" spans="1:9" hidden="1" x14ac:dyDescent="0.25">
      <c r="A776" s="102" t="s">
        <v>3887</v>
      </c>
      <c r="B776" s="103" t="s">
        <v>3888</v>
      </c>
      <c r="C776" s="104" t="s">
        <v>32</v>
      </c>
      <c r="D776" s="104">
        <v>0</v>
      </c>
      <c r="E776" s="158" t="s">
        <v>1079</v>
      </c>
      <c r="F776" s="159" t="str">
        <f t="shared" si="36"/>
        <v/>
      </c>
      <c r="G776" s="160" t="e">
        <f>IF(A776&lt;&gt;"",IF(AND(#REF!="Padrão",$H$4=#REF!),BDI!$B$17,IF(AND(#REF!="Padrão",$H$4=#REF!),BDI!$C$17,IF(AND(#REF!="Diferenciado",$H$4=#REF!),BDI!$G$17,IF(AND(#REF!="Diferenciado",$H$4=#REF!),BDI!$H$17,IF(#REF!="ZERO",0))))),"")</f>
        <v>#REF!</v>
      </c>
      <c r="H776" s="161" t="str">
        <f t="shared" si="37"/>
        <v/>
      </c>
      <c r="I776" s="159" t="str">
        <f t="shared" si="38"/>
        <v/>
      </c>
    </row>
    <row r="777" spans="1:9" hidden="1" x14ac:dyDescent="0.25">
      <c r="A777" s="102" t="s">
        <v>3889</v>
      </c>
      <c r="B777" s="103" t="s">
        <v>3890</v>
      </c>
      <c r="C777" s="104" t="s">
        <v>32</v>
      </c>
      <c r="D777" s="104">
        <v>0</v>
      </c>
      <c r="E777" s="158" t="s">
        <v>1079</v>
      </c>
      <c r="F777" s="159" t="str">
        <f t="shared" si="36"/>
        <v/>
      </c>
      <c r="G777" s="160" t="e">
        <f>IF(A777&lt;&gt;"",IF(AND(#REF!="Padrão",$H$4=#REF!),BDI!$B$17,IF(AND(#REF!="Padrão",$H$4=#REF!),BDI!$C$17,IF(AND(#REF!="Diferenciado",$H$4=#REF!),BDI!$G$17,IF(AND(#REF!="Diferenciado",$H$4=#REF!),BDI!$H$17,IF(#REF!="ZERO",0))))),"")</f>
        <v>#REF!</v>
      </c>
      <c r="H777" s="161" t="str">
        <f t="shared" si="37"/>
        <v/>
      </c>
      <c r="I777" s="159" t="str">
        <f t="shared" si="38"/>
        <v/>
      </c>
    </row>
    <row r="778" spans="1:9" hidden="1" x14ac:dyDescent="0.25">
      <c r="A778" s="102" t="s">
        <v>3891</v>
      </c>
      <c r="B778" s="103" t="s">
        <v>3892</v>
      </c>
      <c r="C778" s="104" t="s">
        <v>32</v>
      </c>
      <c r="D778" s="104">
        <v>0</v>
      </c>
      <c r="E778" s="158" t="s">
        <v>1079</v>
      </c>
      <c r="F778" s="159" t="str">
        <f t="shared" si="36"/>
        <v/>
      </c>
      <c r="G778" s="160" t="e">
        <f>IF(A778&lt;&gt;"",IF(AND(#REF!="Padrão",$H$4=#REF!),BDI!$B$17,IF(AND(#REF!="Padrão",$H$4=#REF!),BDI!$C$17,IF(AND(#REF!="Diferenciado",$H$4=#REF!),BDI!$G$17,IF(AND(#REF!="Diferenciado",$H$4=#REF!),BDI!$H$17,IF(#REF!="ZERO",0))))),"")</f>
        <v>#REF!</v>
      </c>
      <c r="H778" s="161" t="str">
        <f t="shared" si="37"/>
        <v/>
      </c>
      <c r="I778" s="159" t="str">
        <f t="shared" si="38"/>
        <v/>
      </c>
    </row>
    <row r="779" spans="1:9" hidden="1" x14ac:dyDescent="0.25">
      <c r="A779" s="102" t="s">
        <v>3893</v>
      </c>
      <c r="B779" s="103" t="s">
        <v>3894</v>
      </c>
      <c r="C779" s="104" t="s">
        <v>32</v>
      </c>
      <c r="D779" s="104">
        <v>0</v>
      </c>
      <c r="E779" s="158" t="s">
        <v>1079</v>
      </c>
      <c r="F779" s="159" t="str">
        <f t="shared" si="36"/>
        <v/>
      </c>
      <c r="G779" s="160" t="e">
        <f>IF(A779&lt;&gt;"",IF(AND(#REF!="Padrão",$H$4=#REF!),BDI!$B$17,IF(AND(#REF!="Padrão",$H$4=#REF!),BDI!$C$17,IF(AND(#REF!="Diferenciado",$H$4=#REF!),BDI!$G$17,IF(AND(#REF!="Diferenciado",$H$4=#REF!),BDI!$H$17,IF(#REF!="ZERO",0))))),"")</f>
        <v>#REF!</v>
      </c>
      <c r="H779" s="161" t="str">
        <f t="shared" si="37"/>
        <v/>
      </c>
      <c r="I779" s="159" t="str">
        <f t="shared" si="38"/>
        <v/>
      </c>
    </row>
    <row r="780" spans="1:9" hidden="1" x14ac:dyDescent="0.25">
      <c r="A780" s="102" t="s">
        <v>3895</v>
      </c>
      <c r="B780" s="103" t="s">
        <v>3896</v>
      </c>
      <c r="C780" s="104" t="s">
        <v>32</v>
      </c>
      <c r="D780" s="104">
        <v>0</v>
      </c>
      <c r="E780" s="158" t="s">
        <v>1079</v>
      </c>
      <c r="F780" s="159" t="str">
        <f t="shared" si="36"/>
        <v/>
      </c>
      <c r="G780" s="160" t="e">
        <f>IF(A780&lt;&gt;"",IF(AND(#REF!="Padrão",$H$4=#REF!),BDI!$B$17,IF(AND(#REF!="Padrão",$H$4=#REF!),BDI!$C$17,IF(AND(#REF!="Diferenciado",$H$4=#REF!),BDI!$G$17,IF(AND(#REF!="Diferenciado",$H$4=#REF!),BDI!$H$17,IF(#REF!="ZERO",0))))),"")</f>
        <v>#REF!</v>
      </c>
      <c r="H780" s="161" t="str">
        <f t="shared" si="37"/>
        <v/>
      </c>
      <c r="I780" s="159" t="str">
        <f t="shared" si="38"/>
        <v/>
      </c>
    </row>
    <row r="781" spans="1:9" hidden="1" x14ac:dyDescent="0.25">
      <c r="A781" s="102" t="s">
        <v>3897</v>
      </c>
      <c r="B781" s="103" t="s">
        <v>3898</v>
      </c>
      <c r="C781" s="104" t="s">
        <v>32</v>
      </c>
      <c r="D781" s="104">
        <v>0</v>
      </c>
      <c r="E781" s="158" t="s">
        <v>1079</v>
      </c>
      <c r="F781" s="159" t="str">
        <f t="shared" si="36"/>
        <v/>
      </c>
      <c r="G781" s="160" t="e">
        <f>IF(A781&lt;&gt;"",IF(AND(#REF!="Padrão",$H$4=#REF!),BDI!$B$17,IF(AND(#REF!="Padrão",$H$4=#REF!),BDI!$C$17,IF(AND(#REF!="Diferenciado",$H$4=#REF!),BDI!$G$17,IF(AND(#REF!="Diferenciado",$H$4=#REF!),BDI!$H$17,IF(#REF!="ZERO",0))))),"")</f>
        <v>#REF!</v>
      </c>
      <c r="H781" s="161" t="str">
        <f t="shared" si="37"/>
        <v/>
      </c>
      <c r="I781" s="159" t="str">
        <f t="shared" si="38"/>
        <v/>
      </c>
    </row>
    <row r="782" spans="1:9" hidden="1" x14ac:dyDescent="0.25">
      <c r="A782" s="102" t="s">
        <v>3899</v>
      </c>
      <c r="B782" s="103" t="s">
        <v>3900</v>
      </c>
      <c r="C782" s="104" t="s">
        <v>32</v>
      </c>
      <c r="D782" s="104">
        <v>0</v>
      </c>
      <c r="E782" s="158" t="s">
        <v>1079</v>
      </c>
      <c r="F782" s="159" t="str">
        <f t="shared" si="36"/>
        <v/>
      </c>
      <c r="G782" s="160" t="e">
        <f>IF(A782&lt;&gt;"",IF(AND(#REF!="Padrão",$H$4=#REF!),BDI!$B$17,IF(AND(#REF!="Padrão",$H$4=#REF!),BDI!$C$17,IF(AND(#REF!="Diferenciado",$H$4=#REF!),BDI!$G$17,IF(AND(#REF!="Diferenciado",$H$4=#REF!),BDI!$H$17,IF(#REF!="ZERO",0))))),"")</f>
        <v>#REF!</v>
      </c>
      <c r="H782" s="161" t="str">
        <f t="shared" si="37"/>
        <v/>
      </c>
      <c r="I782" s="159" t="str">
        <f t="shared" si="38"/>
        <v/>
      </c>
    </row>
    <row r="783" spans="1:9" hidden="1" x14ac:dyDescent="0.25">
      <c r="A783" s="102" t="s">
        <v>3901</v>
      </c>
      <c r="B783" s="103" t="s">
        <v>3902</v>
      </c>
      <c r="C783" s="104" t="s">
        <v>32</v>
      </c>
      <c r="D783" s="104">
        <v>0</v>
      </c>
      <c r="E783" s="158" t="s">
        <v>1079</v>
      </c>
      <c r="F783" s="159" t="str">
        <f t="shared" si="36"/>
        <v/>
      </c>
      <c r="G783" s="160" t="e">
        <f>IF(A783&lt;&gt;"",IF(AND(#REF!="Padrão",$H$4=#REF!),BDI!$B$17,IF(AND(#REF!="Padrão",$H$4=#REF!),BDI!$C$17,IF(AND(#REF!="Diferenciado",$H$4=#REF!),BDI!$G$17,IF(AND(#REF!="Diferenciado",$H$4=#REF!),BDI!$H$17,IF(#REF!="ZERO",0))))),"")</f>
        <v>#REF!</v>
      </c>
      <c r="H783" s="161" t="str">
        <f t="shared" si="37"/>
        <v/>
      </c>
      <c r="I783" s="159" t="str">
        <f t="shared" si="38"/>
        <v/>
      </c>
    </row>
    <row r="784" spans="1:9" hidden="1" x14ac:dyDescent="0.25">
      <c r="A784" s="102" t="s">
        <v>3903</v>
      </c>
      <c r="B784" s="103" t="s">
        <v>3904</v>
      </c>
      <c r="C784" s="104" t="s">
        <v>32</v>
      </c>
      <c r="D784" s="104">
        <v>0</v>
      </c>
      <c r="E784" s="158" t="s">
        <v>1079</v>
      </c>
      <c r="F784" s="159" t="str">
        <f t="shared" si="36"/>
        <v/>
      </c>
      <c r="G784" s="160" t="e">
        <f>IF(A784&lt;&gt;"",IF(AND(#REF!="Padrão",$H$4=#REF!),BDI!$B$17,IF(AND(#REF!="Padrão",$H$4=#REF!),BDI!$C$17,IF(AND(#REF!="Diferenciado",$H$4=#REF!),BDI!$G$17,IF(AND(#REF!="Diferenciado",$H$4=#REF!),BDI!$H$17,IF(#REF!="ZERO",0))))),"")</f>
        <v>#REF!</v>
      </c>
      <c r="H784" s="161" t="str">
        <f t="shared" si="37"/>
        <v/>
      </c>
      <c r="I784" s="159" t="str">
        <f t="shared" si="38"/>
        <v/>
      </c>
    </row>
    <row r="785" spans="1:9" hidden="1" x14ac:dyDescent="0.25">
      <c r="A785" s="102" t="s">
        <v>3905</v>
      </c>
      <c r="B785" s="103" t="s">
        <v>3906</v>
      </c>
      <c r="C785" s="104" t="s">
        <v>32</v>
      </c>
      <c r="D785" s="104">
        <v>0</v>
      </c>
      <c r="E785" s="158" t="s">
        <v>1079</v>
      </c>
      <c r="F785" s="159" t="str">
        <f t="shared" si="36"/>
        <v/>
      </c>
      <c r="G785" s="160" t="e">
        <f>IF(A785&lt;&gt;"",IF(AND(#REF!="Padrão",$H$4=#REF!),BDI!$B$17,IF(AND(#REF!="Padrão",$H$4=#REF!),BDI!$C$17,IF(AND(#REF!="Diferenciado",$H$4=#REF!),BDI!$G$17,IF(AND(#REF!="Diferenciado",$H$4=#REF!),BDI!$H$17,IF(#REF!="ZERO",0))))),"")</f>
        <v>#REF!</v>
      </c>
      <c r="H785" s="161" t="str">
        <f t="shared" si="37"/>
        <v/>
      </c>
      <c r="I785" s="159" t="str">
        <f t="shared" si="38"/>
        <v/>
      </c>
    </row>
    <row r="786" spans="1:9" hidden="1" x14ac:dyDescent="0.25">
      <c r="A786" s="102" t="s">
        <v>3907</v>
      </c>
      <c r="B786" s="103" t="s">
        <v>3908</v>
      </c>
      <c r="C786" s="104" t="s">
        <v>32</v>
      </c>
      <c r="D786" s="104">
        <v>0</v>
      </c>
      <c r="E786" s="158" t="s">
        <v>1079</v>
      </c>
      <c r="F786" s="159" t="str">
        <f t="shared" si="36"/>
        <v/>
      </c>
      <c r="G786" s="160" t="e">
        <f>IF(A786&lt;&gt;"",IF(AND(#REF!="Padrão",$H$4=#REF!),BDI!$B$17,IF(AND(#REF!="Padrão",$H$4=#REF!),BDI!$C$17,IF(AND(#REF!="Diferenciado",$H$4=#REF!),BDI!$G$17,IF(AND(#REF!="Diferenciado",$H$4=#REF!),BDI!$H$17,IF(#REF!="ZERO",0))))),"")</f>
        <v>#REF!</v>
      </c>
      <c r="H786" s="161" t="str">
        <f t="shared" si="37"/>
        <v/>
      </c>
      <c r="I786" s="159" t="str">
        <f t="shared" si="38"/>
        <v/>
      </c>
    </row>
    <row r="787" spans="1:9" hidden="1" x14ac:dyDescent="0.25">
      <c r="A787" s="102" t="s">
        <v>3909</v>
      </c>
      <c r="B787" s="103" t="s">
        <v>3910</v>
      </c>
      <c r="C787" s="104" t="s">
        <v>32</v>
      </c>
      <c r="D787" s="104">
        <v>0</v>
      </c>
      <c r="E787" s="158" t="s">
        <v>1079</v>
      </c>
      <c r="F787" s="159" t="str">
        <f t="shared" si="36"/>
        <v/>
      </c>
      <c r="G787" s="160" t="e">
        <f>IF(A787&lt;&gt;"",IF(AND(#REF!="Padrão",$H$4=#REF!),BDI!$B$17,IF(AND(#REF!="Padrão",$H$4=#REF!),BDI!$C$17,IF(AND(#REF!="Diferenciado",$H$4=#REF!),BDI!$G$17,IF(AND(#REF!="Diferenciado",$H$4=#REF!),BDI!$H$17,IF(#REF!="ZERO",0))))),"")</f>
        <v>#REF!</v>
      </c>
      <c r="H787" s="161" t="str">
        <f t="shared" si="37"/>
        <v/>
      </c>
      <c r="I787" s="159" t="str">
        <f t="shared" si="38"/>
        <v/>
      </c>
    </row>
    <row r="788" spans="1:9" hidden="1" x14ac:dyDescent="0.25">
      <c r="A788" s="102" t="s">
        <v>3911</v>
      </c>
      <c r="B788" s="103" t="s">
        <v>3912</v>
      </c>
      <c r="C788" s="104" t="s">
        <v>32</v>
      </c>
      <c r="D788" s="104">
        <v>0</v>
      </c>
      <c r="E788" s="158" t="s">
        <v>1079</v>
      </c>
      <c r="F788" s="159" t="str">
        <f t="shared" si="36"/>
        <v/>
      </c>
      <c r="G788" s="160" t="e">
        <f>IF(A788&lt;&gt;"",IF(AND(#REF!="Padrão",$H$4=#REF!),BDI!$B$17,IF(AND(#REF!="Padrão",$H$4=#REF!),BDI!$C$17,IF(AND(#REF!="Diferenciado",$H$4=#REF!),BDI!$G$17,IF(AND(#REF!="Diferenciado",$H$4=#REF!),BDI!$H$17,IF(#REF!="ZERO",0))))),"")</f>
        <v>#REF!</v>
      </c>
      <c r="H788" s="161" t="str">
        <f t="shared" si="37"/>
        <v/>
      </c>
      <c r="I788" s="159" t="str">
        <f t="shared" si="38"/>
        <v/>
      </c>
    </row>
    <row r="789" spans="1:9" hidden="1" x14ac:dyDescent="0.25">
      <c r="A789" s="102" t="s">
        <v>3913</v>
      </c>
      <c r="B789" s="103" t="s">
        <v>3914</v>
      </c>
      <c r="C789" s="104" t="s">
        <v>32</v>
      </c>
      <c r="D789" s="104">
        <v>0</v>
      </c>
      <c r="E789" s="158" t="s">
        <v>1079</v>
      </c>
      <c r="F789" s="159" t="str">
        <f t="shared" si="36"/>
        <v/>
      </c>
      <c r="G789" s="160" t="e">
        <f>IF(A789&lt;&gt;"",IF(AND(#REF!="Padrão",$H$4=#REF!),BDI!$B$17,IF(AND(#REF!="Padrão",$H$4=#REF!),BDI!$C$17,IF(AND(#REF!="Diferenciado",$H$4=#REF!),BDI!$G$17,IF(AND(#REF!="Diferenciado",$H$4=#REF!),BDI!$H$17,IF(#REF!="ZERO",0))))),"")</f>
        <v>#REF!</v>
      </c>
      <c r="H789" s="161" t="str">
        <f t="shared" si="37"/>
        <v/>
      </c>
      <c r="I789" s="159" t="str">
        <f t="shared" si="38"/>
        <v/>
      </c>
    </row>
    <row r="790" spans="1:9" hidden="1" x14ac:dyDescent="0.25">
      <c r="A790" s="102" t="s">
        <v>3915</v>
      </c>
      <c r="B790" s="103" t="s">
        <v>3916</v>
      </c>
      <c r="C790" s="104" t="s">
        <v>32</v>
      </c>
      <c r="D790" s="104">
        <v>0</v>
      </c>
      <c r="E790" s="158" t="s">
        <v>1079</v>
      </c>
      <c r="F790" s="159" t="str">
        <f t="shared" si="36"/>
        <v/>
      </c>
      <c r="G790" s="160" t="e">
        <f>IF(A790&lt;&gt;"",IF(AND(#REF!="Padrão",$H$4=#REF!),BDI!$B$17,IF(AND(#REF!="Padrão",$H$4=#REF!),BDI!$C$17,IF(AND(#REF!="Diferenciado",$H$4=#REF!),BDI!$G$17,IF(AND(#REF!="Diferenciado",$H$4=#REF!),BDI!$H$17,IF(#REF!="ZERO",0))))),"")</f>
        <v>#REF!</v>
      </c>
      <c r="H790" s="161" t="str">
        <f t="shared" si="37"/>
        <v/>
      </c>
      <c r="I790" s="159" t="str">
        <f t="shared" si="38"/>
        <v/>
      </c>
    </row>
    <row r="791" spans="1:9" hidden="1" x14ac:dyDescent="0.25">
      <c r="A791" s="102" t="s">
        <v>3917</v>
      </c>
      <c r="B791" s="103" t="s">
        <v>3918</v>
      </c>
      <c r="C791" s="104" t="s">
        <v>32</v>
      </c>
      <c r="D791" s="104">
        <v>0</v>
      </c>
      <c r="E791" s="158" t="s">
        <v>1079</v>
      </c>
      <c r="F791" s="159" t="str">
        <f t="shared" si="36"/>
        <v/>
      </c>
      <c r="G791" s="160" t="e">
        <f>IF(A791&lt;&gt;"",IF(AND(#REF!="Padrão",$H$4=#REF!),BDI!$B$17,IF(AND(#REF!="Padrão",$H$4=#REF!),BDI!$C$17,IF(AND(#REF!="Diferenciado",$H$4=#REF!),BDI!$G$17,IF(AND(#REF!="Diferenciado",$H$4=#REF!),BDI!$H$17,IF(#REF!="ZERO",0))))),"")</f>
        <v>#REF!</v>
      </c>
      <c r="H791" s="161" t="str">
        <f t="shared" si="37"/>
        <v/>
      </c>
      <c r="I791" s="159" t="str">
        <f t="shared" si="38"/>
        <v/>
      </c>
    </row>
    <row r="792" spans="1:9" hidden="1" x14ac:dyDescent="0.25">
      <c r="A792" s="102" t="s">
        <v>3919</v>
      </c>
      <c r="B792" s="103" t="s">
        <v>3920</v>
      </c>
      <c r="C792" s="104" t="s">
        <v>32</v>
      </c>
      <c r="D792" s="104">
        <v>0</v>
      </c>
      <c r="E792" s="158" t="s">
        <v>1079</v>
      </c>
      <c r="F792" s="159" t="str">
        <f t="shared" si="36"/>
        <v/>
      </c>
      <c r="G792" s="160" t="e">
        <f>IF(A792&lt;&gt;"",IF(AND(#REF!="Padrão",$H$4=#REF!),BDI!$B$17,IF(AND(#REF!="Padrão",$H$4=#REF!),BDI!$C$17,IF(AND(#REF!="Diferenciado",$H$4=#REF!),BDI!$G$17,IF(AND(#REF!="Diferenciado",$H$4=#REF!),BDI!$H$17,IF(#REF!="ZERO",0))))),"")</f>
        <v>#REF!</v>
      </c>
      <c r="H792" s="161" t="str">
        <f t="shared" si="37"/>
        <v/>
      </c>
      <c r="I792" s="159" t="str">
        <f t="shared" si="38"/>
        <v/>
      </c>
    </row>
    <row r="793" spans="1:9" hidden="1" x14ac:dyDescent="0.25">
      <c r="A793" s="102" t="s">
        <v>3921</v>
      </c>
      <c r="B793" s="103" t="s">
        <v>3922</v>
      </c>
      <c r="C793" s="104" t="s">
        <v>32</v>
      </c>
      <c r="D793" s="104">
        <v>0</v>
      </c>
      <c r="E793" s="158" t="s">
        <v>1079</v>
      </c>
      <c r="F793" s="159" t="str">
        <f t="shared" si="36"/>
        <v/>
      </c>
      <c r="G793" s="160" t="e">
        <f>IF(A793&lt;&gt;"",IF(AND(#REF!="Padrão",$H$4=#REF!),BDI!$B$17,IF(AND(#REF!="Padrão",$H$4=#REF!),BDI!$C$17,IF(AND(#REF!="Diferenciado",$H$4=#REF!),BDI!$G$17,IF(AND(#REF!="Diferenciado",$H$4=#REF!),BDI!$H$17,IF(#REF!="ZERO",0))))),"")</f>
        <v>#REF!</v>
      </c>
      <c r="H793" s="161" t="str">
        <f t="shared" si="37"/>
        <v/>
      </c>
      <c r="I793" s="159" t="str">
        <f t="shared" si="38"/>
        <v/>
      </c>
    </row>
    <row r="794" spans="1:9" hidden="1" x14ac:dyDescent="0.25">
      <c r="A794" s="102" t="s">
        <v>3923</v>
      </c>
      <c r="B794" s="103" t="s">
        <v>3924</v>
      </c>
      <c r="C794" s="104" t="s">
        <v>32</v>
      </c>
      <c r="D794" s="104">
        <v>0</v>
      </c>
      <c r="E794" s="158" t="s">
        <v>1079</v>
      </c>
      <c r="F794" s="159" t="str">
        <f t="shared" si="36"/>
        <v/>
      </c>
      <c r="G794" s="160" t="e">
        <f>IF(A794&lt;&gt;"",IF(AND(#REF!="Padrão",$H$4=#REF!),BDI!$B$17,IF(AND(#REF!="Padrão",$H$4=#REF!),BDI!$C$17,IF(AND(#REF!="Diferenciado",$H$4=#REF!),BDI!$G$17,IF(AND(#REF!="Diferenciado",$H$4=#REF!),BDI!$H$17,IF(#REF!="ZERO",0))))),"")</f>
        <v>#REF!</v>
      </c>
      <c r="H794" s="161" t="str">
        <f t="shared" si="37"/>
        <v/>
      </c>
      <c r="I794" s="159" t="str">
        <f t="shared" si="38"/>
        <v/>
      </c>
    </row>
    <row r="795" spans="1:9" hidden="1" x14ac:dyDescent="0.25">
      <c r="A795" s="102" t="s">
        <v>3925</v>
      </c>
      <c r="B795" s="103" t="s">
        <v>3926</v>
      </c>
      <c r="C795" s="104" t="s">
        <v>32</v>
      </c>
      <c r="D795" s="104">
        <v>0</v>
      </c>
      <c r="E795" s="158" t="s">
        <v>1079</v>
      </c>
      <c r="F795" s="159" t="str">
        <f t="shared" si="36"/>
        <v/>
      </c>
      <c r="G795" s="160" t="e">
        <f>IF(A795&lt;&gt;"",IF(AND(#REF!="Padrão",$H$4=#REF!),BDI!$B$17,IF(AND(#REF!="Padrão",$H$4=#REF!),BDI!$C$17,IF(AND(#REF!="Diferenciado",$H$4=#REF!),BDI!$G$17,IF(AND(#REF!="Diferenciado",$H$4=#REF!),BDI!$H$17,IF(#REF!="ZERO",0))))),"")</f>
        <v>#REF!</v>
      </c>
      <c r="H795" s="161" t="str">
        <f t="shared" si="37"/>
        <v/>
      </c>
      <c r="I795" s="159" t="str">
        <f t="shared" si="38"/>
        <v/>
      </c>
    </row>
    <row r="796" spans="1:9" hidden="1" x14ac:dyDescent="0.25">
      <c r="A796" s="102" t="s">
        <v>3927</v>
      </c>
      <c r="B796" s="103" t="s">
        <v>3928</v>
      </c>
      <c r="C796" s="104" t="s">
        <v>32</v>
      </c>
      <c r="D796" s="104">
        <v>0</v>
      </c>
      <c r="E796" s="158" t="s">
        <v>1079</v>
      </c>
      <c r="F796" s="159" t="str">
        <f t="shared" si="36"/>
        <v/>
      </c>
      <c r="G796" s="160" t="e">
        <f>IF(A796&lt;&gt;"",IF(AND(#REF!="Padrão",$H$4=#REF!),BDI!$B$17,IF(AND(#REF!="Padrão",$H$4=#REF!),BDI!$C$17,IF(AND(#REF!="Diferenciado",$H$4=#REF!),BDI!$G$17,IF(AND(#REF!="Diferenciado",$H$4=#REF!),BDI!$H$17,IF(#REF!="ZERO",0))))),"")</f>
        <v>#REF!</v>
      </c>
      <c r="H796" s="161" t="str">
        <f t="shared" si="37"/>
        <v/>
      </c>
      <c r="I796" s="159" t="str">
        <f t="shared" si="38"/>
        <v/>
      </c>
    </row>
    <row r="797" spans="1:9" hidden="1" x14ac:dyDescent="0.25">
      <c r="A797" s="102" t="s">
        <v>3929</v>
      </c>
      <c r="B797" s="103" t="s">
        <v>3930</v>
      </c>
      <c r="C797" s="104" t="s">
        <v>32</v>
      </c>
      <c r="D797" s="104">
        <v>0</v>
      </c>
      <c r="E797" s="158" t="s">
        <v>1079</v>
      </c>
      <c r="F797" s="159" t="str">
        <f t="shared" si="36"/>
        <v/>
      </c>
      <c r="G797" s="160" t="e">
        <f>IF(A797&lt;&gt;"",IF(AND(#REF!="Padrão",$H$4=#REF!),BDI!$B$17,IF(AND(#REF!="Padrão",$H$4=#REF!),BDI!$C$17,IF(AND(#REF!="Diferenciado",$H$4=#REF!),BDI!$G$17,IF(AND(#REF!="Diferenciado",$H$4=#REF!),BDI!$H$17,IF(#REF!="ZERO",0))))),"")</f>
        <v>#REF!</v>
      </c>
      <c r="H797" s="161" t="str">
        <f t="shared" si="37"/>
        <v/>
      </c>
      <c r="I797" s="159" t="str">
        <f t="shared" si="38"/>
        <v/>
      </c>
    </row>
    <row r="798" spans="1:9" hidden="1" x14ac:dyDescent="0.25">
      <c r="A798" s="102" t="s">
        <v>3931</v>
      </c>
      <c r="B798" s="103" t="s">
        <v>3932</v>
      </c>
      <c r="C798" s="104" t="s">
        <v>32</v>
      </c>
      <c r="D798" s="104">
        <v>0</v>
      </c>
      <c r="E798" s="158" t="s">
        <v>1079</v>
      </c>
      <c r="F798" s="159" t="str">
        <f t="shared" si="36"/>
        <v/>
      </c>
      <c r="G798" s="160" t="e">
        <f>IF(A798&lt;&gt;"",IF(AND(#REF!="Padrão",$H$4=#REF!),BDI!$B$17,IF(AND(#REF!="Padrão",$H$4=#REF!),BDI!$C$17,IF(AND(#REF!="Diferenciado",$H$4=#REF!),BDI!$G$17,IF(AND(#REF!="Diferenciado",$H$4=#REF!),BDI!$H$17,IF(#REF!="ZERO",0))))),"")</f>
        <v>#REF!</v>
      </c>
      <c r="H798" s="161" t="str">
        <f t="shared" si="37"/>
        <v/>
      </c>
      <c r="I798" s="159" t="str">
        <f t="shared" si="38"/>
        <v/>
      </c>
    </row>
    <row r="799" spans="1:9" hidden="1" x14ac:dyDescent="0.25">
      <c r="A799" s="102" t="s">
        <v>3933</v>
      </c>
      <c r="B799" s="103" t="s">
        <v>3934</v>
      </c>
      <c r="C799" s="104" t="s">
        <v>32</v>
      </c>
      <c r="D799" s="104">
        <v>0</v>
      </c>
      <c r="E799" s="158" t="s">
        <v>1079</v>
      </c>
      <c r="F799" s="159" t="str">
        <f t="shared" si="36"/>
        <v/>
      </c>
      <c r="G799" s="160" t="e">
        <f>IF(A799&lt;&gt;"",IF(AND(#REF!="Padrão",$H$4=#REF!),BDI!$B$17,IF(AND(#REF!="Padrão",$H$4=#REF!),BDI!$C$17,IF(AND(#REF!="Diferenciado",$H$4=#REF!),BDI!$G$17,IF(AND(#REF!="Diferenciado",$H$4=#REF!),BDI!$H$17,IF(#REF!="ZERO",0))))),"")</f>
        <v>#REF!</v>
      </c>
      <c r="H799" s="161" t="str">
        <f t="shared" si="37"/>
        <v/>
      </c>
      <c r="I799" s="159" t="str">
        <f t="shared" si="38"/>
        <v/>
      </c>
    </row>
    <row r="800" spans="1:9" hidden="1" x14ac:dyDescent="0.25">
      <c r="A800" s="102" t="s">
        <v>3935</v>
      </c>
      <c r="B800" s="103" t="s">
        <v>3936</v>
      </c>
      <c r="C800" s="104" t="s">
        <v>32</v>
      </c>
      <c r="D800" s="104">
        <v>0</v>
      </c>
      <c r="E800" s="158" t="s">
        <v>1079</v>
      </c>
      <c r="F800" s="159" t="str">
        <f t="shared" si="36"/>
        <v/>
      </c>
      <c r="G800" s="160" t="e">
        <f>IF(A800&lt;&gt;"",IF(AND(#REF!="Padrão",$H$4=#REF!),BDI!$B$17,IF(AND(#REF!="Padrão",$H$4=#REF!),BDI!$C$17,IF(AND(#REF!="Diferenciado",$H$4=#REF!),BDI!$G$17,IF(AND(#REF!="Diferenciado",$H$4=#REF!),BDI!$H$17,IF(#REF!="ZERO",0))))),"")</f>
        <v>#REF!</v>
      </c>
      <c r="H800" s="161" t="str">
        <f t="shared" si="37"/>
        <v/>
      </c>
      <c r="I800" s="159" t="str">
        <f t="shared" si="38"/>
        <v/>
      </c>
    </row>
    <row r="801" spans="1:9" hidden="1" x14ac:dyDescent="0.25">
      <c r="A801" s="102" t="s">
        <v>3937</v>
      </c>
      <c r="B801" s="103" t="s">
        <v>3938</v>
      </c>
      <c r="C801" s="104" t="s">
        <v>32</v>
      </c>
      <c r="D801" s="104">
        <v>0</v>
      </c>
      <c r="E801" s="158" t="s">
        <v>1079</v>
      </c>
      <c r="F801" s="159" t="str">
        <f t="shared" si="36"/>
        <v/>
      </c>
      <c r="G801" s="160" t="e">
        <f>IF(A801&lt;&gt;"",IF(AND(#REF!="Padrão",$H$4=#REF!),BDI!$B$17,IF(AND(#REF!="Padrão",$H$4=#REF!),BDI!$C$17,IF(AND(#REF!="Diferenciado",$H$4=#REF!),BDI!$G$17,IF(AND(#REF!="Diferenciado",$H$4=#REF!),BDI!$H$17,IF(#REF!="ZERO",0))))),"")</f>
        <v>#REF!</v>
      </c>
      <c r="H801" s="161" t="str">
        <f t="shared" si="37"/>
        <v/>
      </c>
      <c r="I801" s="159" t="str">
        <f t="shared" si="38"/>
        <v/>
      </c>
    </row>
    <row r="802" spans="1:9" hidden="1" x14ac:dyDescent="0.25">
      <c r="A802" s="102" t="s">
        <v>3939</v>
      </c>
      <c r="B802" s="103" t="s">
        <v>3940</v>
      </c>
      <c r="C802" s="104" t="s">
        <v>32</v>
      </c>
      <c r="D802" s="104">
        <v>0</v>
      </c>
      <c r="E802" s="158" t="s">
        <v>1079</v>
      </c>
      <c r="F802" s="159" t="str">
        <f t="shared" si="36"/>
        <v/>
      </c>
      <c r="G802" s="160" t="e">
        <f>IF(A802&lt;&gt;"",IF(AND(#REF!="Padrão",$H$4=#REF!),BDI!$B$17,IF(AND(#REF!="Padrão",$H$4=#REF!),BDI!$C$17,IF(AND(#REF!="Diferenciado",$H$4=#REF!),BDI!$G$17,IF(AND(#REF!="Diferenciado",$H$4=#REF!),BDI!$H$17,IF(#REF!="ZERO",0))))),"")</f>
        <v>#REF!</v>
      </c>
      <c r="H802" s="161" t="str">
        <f t="shared" si="37"/>
        <v/>
      </c>
      <c r="I802" s="159" t="str">
        <f t="shared" si="38"/>
        <v/>
      </c>
    </row>
    <row r="803" spans="1:9" hidden="1" x14ac:dyDescent="0.25">
      <c r="A803" s="102" t="s">
        <v>3941</v>
      </c>
      <c r="B803" s="103" t="s">
        <v>3942</v>
      </c>
      <c r="C803" s="104" t="s">
        <v>32</v>
      </c>
      <c r="D803" s="104">
        <v>0</v>
      </c>
      <c r="E803" s="158" t="s">
        <v>1079</v>
      </c>
      <c r="F803" s="159" t="str">
        <f t="shared" si="36"/>
        <v/>
      </c>
      <c r="G803" s="160" t="e">
        <f>IF(A803&lt;&gt;"",IF(AND(#REF!="Padrão",$H$4=#REF!),BDI!$B$17,IF(AND(#REF!="Padrão",$H$4=#REF!),BDI!$C$17,IF(AND(#REF!="Diferenciado",$H$4=#REF!),BDI!$G$17,IF(AND(#REF!="Diferenciado",$H$4=#REF!),BDI!$H$17,IF(#REF!="ZERO",0))))),"")</f>
        <v>#REF!</v>
      </c>
      <c r="H803" s="161" t="str">
        <f t="shared" si="37"/>
        <v/>
      </c>
      <c r="I803" s="159" t="str">
        <f t="shared" si="38"/>
        <v/>
      </c>
    </row>
    <row r="804" spans="1:9" hidden="1" x14ac:dyDescent="0.25">
      <c r="A804" s="102" t="s">
        <v>3943</v>
      </c>
      <c r="B804" s="103" t="s">
        <v>3944</v>
      </c>
      <c r="C804" s="104" t="s">
        <v>32</v>
      </c>
      <c r="D804" s="104">
        <v>0</v>
      </c>
      <c r="E804" s="158" t="s">
        <v>1079</v>
      </c>
      <c r="F804" s="159" t="str">
        <f t="shared" si="36"/>
        <v/>
      </c>
      <c r="G804" s="160" t="e">
        <f>IF(A804&lt;&gt;"",IF(AND(#REF!="Padrão",$H$4=#REF!),BDI!$B$17,IF(AND(#REF!="Padrão",$H$4=#REF!),BDI!$C$17,IF(AND(#REF!="Diferenciado",$H$4=#REF!),BDI!$G$17,IF(AND(#REF!="Diferenciado",$H$4=#REF!),BDI!$H$17,IF(#REF!="ZERO",0))))),"")</f>
        <v>#REF!</v>
      </c>
      <c r="H804" s="161" t="str">
        <f t="shared" si="37"/>
        <v/>
      </c>
      <c r="I804" s="159" t="str">
        <f t="shared" si="38"/>
        <v/>
      </c>
    </row>
    <row r="805" spans="1:9" hidden="1" x14ac:dyDescent="0.25">
      <c r="A805" s="102" t="s">
        <v>3945</v>
      </c>
      <c r="B805" s="103" t="s">
        <v>3946</v>
      </c>
      <c r="C805" s="104" t="s">
        <v>32</v>
      </c>
      <c r="D805" s="104">
        <v>0</v>
      </c>
      <c r="E805" s="158" t="s">
        <v>1079</v>
      </c>
      <c r="F805" s="159" t="str">
        <f t="shared" si="36"/>
        <v/>
      </c>
      <c r="G805" s="160" t="e">
        <f>IF(A805&lt;&gt;"",IF(AND(#REF!="Padrão",$H$4=#REF!),BDI!$B$17,IF(AND(#REF!="Padrão",$H$4=#REF!),BDI!$C$17,IF(AND(#REF!="Diferenciado",$H$4=#REF!),BDI!$G$17,IF(AND(#REF!="Diferenciado",$H$4=#REF!),BDI!$H$17,IF(#REF!="ZERO",0))))),"")</f>
        <v>#REF!</v>
      </c>
      <c r="H805" s="161" t="str">
        <f t="shared" si="37"/>
        <v/>
      </c>
      <c r="I805" s="159" t="str">
        <f t="shared" si="38"/>
        <v/>
      </c>
    </row>
    <row r="806" spans="1:9" hidden="1" x14ac:dyDescent="0.25">
      <c r="A806" s="102" t="s">
        <v>3947</v>
      </c>
      <c r="B806" s="103" t="s">
        <v>3948</v>
      </c>
      <c r="C806" s="104" t="s">
        <v>32</v>
      </c>
      <c r="D806" s="104">
        <v>0</v>
      </c>
      <c r="E806" s="158" t="s">
        <v>1079</v>
      </c>
      <c r="F806" s="159" t="str">
        <f t="shared" si="36"/>
        <v/>
      </c>
      <c r="G806" s="160" t="e">
        <f>IF(A806&lt;&gt;"",IF(AND(#REF!="Padrão",$H$4=#REF!),BDI!$B$17,IF(AND(#REF!="Padrão",$H$4=#REF!),BDI!$C$17,IF(AND(#REF!="Diferenciado",$H$4=#REF!),BDI!$G$17,IF(AND(#REF!="Diferenciado",$H$4=#REF!),BDI!$H$17,IF(#REF!="ZERO",0))))),"")</f>
        <v>#REF!</v>
      </c>
      <c r="H806" s="161" t="str">
        <f t="shared" si="37"/>
        <v/>
      </c>
      <c r="I806" s="159" t="str">
        <f t="shared" si="38"/>
        <v/>
      </c>
    </row>
    <row r="807" spans="1:9" hidden="1" x14ac:dyDescent="0.25">
      <c r="A807" s="102" t="s">
        <v>3949</v>
      </c>
      <c r="B807" s="103" t="s">
        <v>3950</v>
      </c>
      <c r="C807" s="104" t="s">
        <v>32</v>
      </c>
      <c r="D807" s="104">
        <v>0</v>
      </c>
      <c r="E807" s="158" t="s">
        <v>1079</v>
      </c>
      <c r="F807" s="159" t="str">
        <f t="shared" si="36"/>
        <v/>
      </c>
      <c r="G807" s="160" t="e">
        <f>IF(A807&lt;&gt;"",IF(AND(#REF!="Padrão",$H$4=#REF!),BDI!$B$17,IF(AND(#REF!="Padrão",$H$4=#REF!),BDI!$C$17,IF(AND(#REF!="Diferenciado",$H$4=#REF!),BDI!$G$17,IF(AND(#REF!="Diferenciado",$H$4=#REF!),BDI!$H$17,IF(#REF!="ZERO",0))))),"")</f>
        <v>#REF!</v>
      </c>
      <c r="H807" s="161" t="str">
        <f t="shared" si="37"/>
        <v/>
      </c>
      <c r="I807" s="159" t="str">
        <f t="shared" si="38"/>
        <v/>
      </c>
    </row>
    <row r="808" spans="1:9" hidden="1" x14ac:dyDescent="0.25">
      <c r="A808" s="102" t="s">
        <v>3951</v>
      </c>
      <c r="B808" s="103" t="s">
        <v>3952</v>
      </c>
      <c r="C808" s="104" t="s">
        <v>32</v>
      </c>
      <c r="D808" s="104">
        <v>0</v>
      </c>
      <c r="E808" s="158" t="s">
        <v>1079</v>
      </c>
      <c r="F808" s="159" t="str">
        <f t="shared" si="36"/>
        <v/>
      </c>
      <c r="G808" s="160" t="e">
        <f>IF(A808&lt;&gt;"",IF(AND(#REF!="Padrão",$H$4=#REF!),BDI!$B$17,IF(AND(#REF!="Padrão",$H$4=#REF!),BDI!$C$17,IF(AND(#REF!="Diferenciado",$H$4=#REF!),BDI!$G$17,IF(AND(#REF!="Diferenciado",$H$4=#REF!),BDI!$H$17,IF(#REF!="ZERO",0))))),"")</f>
        <v>#REF!</v>
      </c>
      <c r="H808" s="161" t="str">
        <f t="shared" si="37"/>
        <v/>
      </c>
      <c r="I808" s="159" t="str">
        <f t="shared" si="38"/>
        <v/>
      </c>
    </row>
    <row r="809" spans="1:9" hidden="1" x14ac:dyDescent="0.25">
      <c r="A809" s="102" t="s">
        <v>3953</v>
      </c>
      <c r="B809" s="103" t="s">
        <v>3954</v>
      </c>
      <c r="C809" s="104" t="s">
        <v>32</v>
      </c>
      <c r="D809" s="104">
        <v>0</v>
      </c>
      <c r="E809" s="158" t="s">
        <v>1079</v>
      </c>
      <c r="F809" s="159" t="str">
        <f t="shared" si="36"/>
        <v/>
      </c>
      <c r="G809" s="160" t="e">
        <f>IF(A809&lt;&gt;"",IF(AND(#REF!="Padrão",$H$4=#REF!),BDI!$B$17,IF(AND(#REF!="Padrão",$H$4=#REF!),BDI!$C$17,IF(AND(#REF!="Diferenciado",$H$4=#REF!),BDI!$G$17,IF(AND(#REF!="Diferenciado",$H$4=#REF!),BDI!$H$17,IF(#REF!="ZERO",0))))),"")</f>
        <v>#REF!</v>
      </c>
      <c r="H809" s="161" t="str">
        <f t="shared" si="37"/>
        <v/>
      </c>
      <c r="I809" s="159" t="str">
        <f t="shared" si="38"/>
        <v/>
      </c>
    </row>
    <row r="810" spans="1:9" hidden="1" x14ac:dyDescent="0.25">
      <c r="A810" s="102" t="s">
        <v>3955</v>
      </c>
      <c r="B810" s="103" t="s">
        <v>3956</v>
      </c>
      <c r="C810" s="104" t="s">
        <v>32</v>
      </c>
      <c r="D810" s="104">
        <v>0</v>
      </c>
      <c r="E810" s="158" t="s">
        <v>1079</v>
      </c>
      <c r="F810" s="159" t="str">
        <f t="shared" si="36"/>
        <v/>
      </c>
      <c r="G810" s="160" t="e">
        <f>IF(A810&lt;&gt;"",IF(AND(#REF!="Padrão",$H$4=#REF!),BDI!$B$17,IF(AND(#REF!="Padrão",$H$4=#REF!),BDI!$C$17,IF(AND(#REF!="Diferenciado",$H$4=#REF!),BDI!$G$17,IF(AND(#REF!="Diferenciado",$H$4=#REF!),BDI!$H$17,IF(#REF!="ZERO",0))))),"")</f>
        <v>#REF!</v>
      </c>
      <c r="H810" s="161" t="str">
        <f t="shared" si="37"/>
        <v/>
      </c>
      <c r="I810" s="159" t="str">
        <f t="shared" si="38"/>
        <v/>
      </c>
    </row>
    <row r="811" spans="1:9" hidden="1" x14ac:dyDescent="0.25">
      <c r="A811" s="102" t="s">
        <v>3957</v>
      </c>
      <c r="B811" s="103" t="s">
        <v>3958</v>
      </c>
      <c r="C811" s="104" t="s">
        <v>32</v>
      </c>
      <c r="D811" s="104">
        <v>0</v>
      </c>
      <c r="E811" s="158" t="s">
        <v>1079</v>
      </c>
      <c r="F811" s="159" t="str">
        <f t="shared" si="36"/>
        <v/>
      </c>
      <c r="G811" s="160" t="e">
        <f>IF(A811&lt;&gt;"",IF(AND(#REF!="Padrão",$H$4=#REF!),BDI!$B$17,IF(AND(#REF!="Padrão",$H$4=#REF!),BDI!$C$17,IF(AND(#REF!="Diferenciado",$H$4=#REF!),BDI!$G$17,IF(AND(#REF!="Diferenciado",$H$4=#REF!),BDI!$H$17,IF(#REF!="ZERO",0))))),"")</f>
        <v>#REF!</v>
      </c>
      <c r="H811" s="161" t="str">
        <f t="shared" si="37"/>
        <v/>
      </c>
      <c r="I811" s="159" t="str">
        <f t="shared" si="38"/>
        <v/>
      </c>
    </row>
    <row r="812" spans="1:9" hidden="1" x14ac:dyDescent="0.25">
      <c r="A812" s="102" t="s">
        <v>3959</v>
      </c>
      <c r="B812" s="103" t="s">
        <v>3960</v>
      </c>
      <c r="C812" s="104" t="s">
        <v>32</v>
      </c>
      <c r="D812" s="104">
        <v>0</v>
      </c>
      <c r="E812" s="158" t="s">
        <v>1079</v>
      </c>
      <c r="F812" s="159" t="str">
        <f t="shared" si="36"/>
        <v/>
      </c>
      <c r="G812" s="160" t="e">
        <f>IF(A812&lt;&gt;"",IF(AND(#REF!="Padrão",$H$4=#REF!),BDI!$B$17,IF(AND(#REF!="Padrão",$H$4=#REF!),BDI!$C$17,IF(AND(#REF!="Diferenciado",$H$4=#REF!),BDI!$G$17,IF(AND(#REF!="Diferenciado",$H$4=#REF!),BDI!$H$17,IF(#REF!="ZERO",0))))),"")</f>
        <v>#REF!</v>
      </c>
      <c r="H812" s="161" t="str">
        <f t="shared" si="37"/>
        <v/>
      </c>
      <c r="I812" s="159" t="str">
        <f t="shared" si="38"/>
        <v/>
      </c>
    </row>
    <row r="813" spans="1:9" hidden="1" x14ac:dyDescent="0.25">
      <c r="A813" s="102" t="s">
        <v>3961</v>
      </c>
      <c r="B813" s="103" t="s">
        <v>3962</v>
      </c>
      <c r="C813" s="104" t="s">
        <v>32</v>
      </c>
      <c r="D813" s="104">
        <v>0</v>
      </c>
      <c r="E813" s="158" t="s">
        <v>1079</v>
      </c>
      <c r="F813" s="159" t="str">
        <f t="shared" si="36"/>
        <v/>
      </c>
      <c r="G813" s="160" t="e">
        <f>IF(A813&lt;&gt;"",IF(AND(#REF!="Padrão",$H$4=#REF!),BDI!$B$17,IF(AND(#REF!="Padrão",$H$4=#REF!),BDI!$C$17,IF(AND(#REF!="Diferenciado",$H$4=#REF!),BDI!$G$17,IF(AND(#REF!="Diferenciado",$H$4=#REF!),BDI!$H$17,IF(#REF!="ZERO",0))))),"")</f>
        <v>#REF!</v>
      </c>
      <c r="H813" s="161" t="str">
        <f t="shared" si="37"/>
        <v/>
      </c>
      <c r="I813" s="159" t="str">
        <f t="shared" si="38"/>
        <v/>
      </c>
    </row>
    <row r="814" spans="1:9" hidden="1" x14ac:dyDescent="0.25">
      <c r="A814" s="102" t="s">
        <v>3963</v>
      </c>
      <c r="B814" s="103" t="s">
        <v>3964</v>
      </c>
      <c r="C814" s="104" t="s">
        <v>32</v>
      </c>
      <c r="D814" s="104">
        <v>0</v>
      </c>
      <c r="E814" s="158" t="s">
        <v>1079</v>
      </c>
      <c r="F814" s="159" t="str">
        <f t="shared" si="36"/>
        <v/>
      </c>
      <c r="G814" s="160" t="e">
        <f>IF(A814&lt;&gt;"",IF(AND(#REF!="Padrão",$H$4=#REF!),BDI!$B$17,IF(AND(#REF!="Padrão",$H$4=#REF!),BDI!$C$17,IF(AND(#REF!="Diferenciado",$H$4=#REF!),BDI!$G$17,IF(AND(#REF!="Diferenciado",$H$4=#REF!),BDI!$H$17,IF(#REF!="ZERO",0))))),"")</f>
        <v>#REF!</v>
      </c>
      <c r="H814" s="161" t="str">
        <f t="shared" si="37"/>
        <v/>
      </c>
      <c r="I814" s="159" t="str">
        <f t="shared" si="38"/>
        <v/>
      </c>
    </row>
    <row r="815" spans="1:9" hidden="1" x14ac:dyDescent="0.25">
      <c r="A815" s="102" t="s">
        <v>3965</v>
      </c>
      <c r="B815" s="103" t="s">
        <v>3966</v>
      </c>
      <c r="C815" s="104" t="s">
        <v>32</v>
      </c>
      <c r="D815" s="104">
        <v>0</v>
      </c>
      <c r="E815" s="158" t="s">
        <v>1079</v>
      </c>
      <c r="F815" s="159" t="str">
        <f t="shared" si="36"/>
        <v/>
      </c>
      <c r="G815" s="160" t="e">
        <f>IF(A815&lt;&gt;"",IF(AND(#REF!="Padrão",$H$4=#REF!),BDI!$B$17,IF(AND(#REF!="Padrão",$H$4=#REF!),BDI!$C$17,IF(AND(#REF!="Diferenciado",$H$4=#REF!),BDI!$G$17,IF(AND(#REF!="Diferenciado",$H$4=#REF!),BDI!$H$17,IF(#REF!="ZERO",0))))),"")</f>
        <v>#REF!</v>
      </c>
      <c r="H815" s="161" t="str">
        <f t="shared" si="37"/>
        <v/>
      </c>
      <c r="I815" s="159" t="str">
        <f t="shared" si="38"/>
        <v/>
      </c>
    </row>
    <row r="816" spans="1:9" hidden="1" x14ac:dyDescent="0.25">
      <c r="A816" s="102" t="s">
        <v>3967</v>
      </c>
      <c r="B816" s="103" t="s">
        <v>3968</v>
      </c>
      <c r="C816" s="104" t="s">
        <v>32</v>
      </c>
      <c r="D816" s="104">
        <v>0</v>
      </c>
      <c r="E816" s="158" t="s">
        <v>1079</v>
      </c>
      <c r="F816" s="159" t="str">
        <f t="shared" si="36"/>
        <v/>
      </c>
      <c r="G816" s="160" t="e">
        <f>IF(A816&lt;&gt;"",IF(AND(#REF!="Padrão",$H$4=#REF!),BDI!$B$17,IF(AND(#REF!="Padrão",$H$4=#REF!),BDI!$C$17,IF(AND(#REF!="Diferenciado",$H$4=#REF!),BDI!$G$17,IF(AND(#REF!="Diferenciado",$H$4=#REF!),BDI!$H$17,IF(#REF!="ZERO",0))))),"")</f>
        <v>#REF!</v>
      </c>
      <c r="H816" s="161" t="str">
        <f t="shared" si="37"/>
        <v/>
      </c>
      <c r="I816" s="159" t="str">
        <f t="shared" si="38"/>
        <v/>
      </c>
    </row>
    <row r="817" spans="1:9" hidden="1" x14ac:dyDescent="0.25">
      <c r="A817" s="102" t="s">
        <v>3969</v>
      </c>
      <c r="B817" s="103" t="s">
        <v>3970</v>
      </c>
      <c r="C817" s="104" t="s">
        <v>32</v>
      </c>
      <c r="D817" s="104">
        <v>0</v>
      </c>
      <c r="E817" s="158" t="s">
        <v>1079</v>
      </c>
      <c r="F817" s="159" t="str">
        <f t="shared" si="36"/>
        <v/>
      </c>
      <c r="G817" s="160" t="e">
        <f>IF(A817&lt;&gt;"",IF(AND(#REF!="Padrão",$H$4=#REF!),BDI!$B$17,IF(AND(#REF!="Padrão",$H$4=#REF!),BDI!$C$17,IF(AND(#REF!="Diferenciado",$H$4=#REF!),BDI!$G$17,IF(AND(#REF!="Diferenciado",$H$4=#REF!),BDI!$H$17,IF(#REF!="ZERO",0))))),"")</f>
        <v>#REF!</v>
      </c>
      <c r="H817" s="161" t="str">
        <f t="shared" si="37"/>
        <v/>
      </c>
      <c r="I817" s="159" t="str">
        <f t="shared" si="38"/>
        <v/>
      </c>
    </row>
    <row r="818" spans="1:9" hidden="1" x14ac:dyDescent="0.25">
      <c r="A818" s="102" t="s">
        <v>3971</v>
      </c>
      <c r="B818" s="103" t="s">
        <v>3972</v>
      </c>
      <c r="C818" s="104" t="s">
        <v>32</v>
      </c>
      <c r="D818" s="104">
        <v>0</v>
      </c>
      <c r="E818" s="158" t="s">
        <v>1079</v>
      </c>
      <c r="F818" s="159" t="str">
        <f t="shared" si="36"/>
        <v/>
      </c>
      <c r="G818" s="160" t="e">
        <f>IF(A818&lt;&gt;"",IF(AND(#REF!="Padrão",$H$4=#REF!),BDI!$B$17,IF(AND(#REF!="Padrão",$H$4=#REF!),BDI!$C$17,IF(AND(#REF!="Diferenciado",$H$4=#REF!),BDI!$G$17,IF(AND(#REF!="Diferenciado",$H$4=#REF!),BDI!$H$17,IF(#REF!="ZERO",0))))),"")</f>
        <v>#REF!</v>
      </c>
      <c r="H818" s="161" t="str">
        <f t="shared" si="37"/>
        <v/>
      </c>
      <c r="I818" s="159" t="str">
        <f t="shared" si="38"/>
        <v/>
      </c>
    </row>
    <row r="819" spans="1:9" hidden="1" x14ac:dyDescent="0.25">
      <c r="A819" s="102" t="s">
        <v>3973</v>
      </c>
      <c r="B819" s="103" t="s">
        <v>3974</v>
      </c>
      <c r="C819" s="104" t="s">
        <v>32</v>
      </c>
      <c r="D819" s="104">
        <v>0</v>
      </c>
      <c r="E819" s="158" t="s">
        <v>1079</v>
      </c>
      <c r="F819" s="159" t="str">
        <f t="shared" si="36"/>
        <v/>
      </c>
      <c r="G819" s="160" t="e">
        <f>IF(A819&lt;&gt;"",IF(AND(#REF!="Padrão",$H$4=#REF!),BDI!$B$17,IF(AND(#REF!="Padrão",$H$4=#REF!),BDI!$C$17,IF(AND(#REF!="Diferenciado",$H$4=#REF!),BDI!$G$17,IF(AND(#REF!="Diferenciado",$H$4=#REF!),BDI!$H$17,IF(#REF!="ZERO",0))))),"")</f>
        <v>#REF!</v>
      </c>
      <c r="H819" s="161" t="str">
        <f t="shared" si="37"/>
        <v/>
      </c>
      <c r="I819" s="159" t="str">
        <f t="shared" si="38"/>
        <v/>
      </c>
    </row>
    <row r="820" spans="1:9" hidden="1" x14ac:dyDescent="0.25">
      <c r="A820" s="102" t="s">
        <v>3975</v>
      </c>
      <c r="B820" s="103" t="s">
        <v>3976</v>
      </c>
      <c r="C820" s="104" t="s">
        <v>32</v>
      </c>
      <c r="D820" s="104">
        <v>0</v>
      </c>
      <c r="E820" s="158" t="s">
        <v>1079</v>
      </c>
      <c r="F820" s="159" t="str">
        <f t="shared" si="36"/>
        <v/>
      </c>
      <c r="G820" s="160" t="e">
        <f>IF(A820&lt;&gt;"",IF(AND(#REF!="Padrão",$H$4=#REF!),BDI!$B$17,IF(AND(#REF!="Padrão",$H$4=#REF!),BDI!$C$17,IF(AND(#REF!="Diferenciado",$H$4=#REF!),BDI!$G$17,IF(AND(#REF!="Diferenciado",$H$4=#REF!),BDI!$H$17,IF(#REF!="ZERO",0))))),"")</f>
        <v>#REF!</v>
      </c>
      <c r="H820" s="161" t="str">
        <f t="shared" si="37"/>
        <v/>
      </c>
      <c r="I820" s="159" t="str">
        <f t="shared" si="38"/>
        <v/>
      </c>
    </row>
    <row r="821" spans="1:9" hidden="1" x14ac:dyDescent="0.25">
      <c r="A821" s="102" t="s">
        <v>3977</v>
      </c>
      <c r="B821" s="103" t="s">
        <v>3978</v>
      </c>
      <c r="C821" s="104" t="s">
        <v>32</v>
      </c>
      <c r="D821" s="104">
        <v>0</v>
      </c>
      <c r="E821" s="158" t="s">
        <v>1079</v>
      </c>
      <c r="F821" s="159" t="str">
        <f t="shared" si="36"/>
        <v/>
      </c>
      <c r="G821" s="160" t="e">
        <f>IF(A821&lt;&gt;"",IF(AND(#REF!="Padrão",$H$4=#REF!),BDI!$B$17,IF(AND(#REF!="Padrão",$H$4=#REF!),BDI!$C$17,IF(AND(#REF!="Diferenciado",$H$4=#REF!),BDI!$G$17,IF(AND(#REF!="Diferenciado",$H$4=#REF!),BDI!$H$17,IF(#REF!="ZERO",0))))),"")</f>
        <v>#REF!</v>
      </c>
      <c r="H821" s="161" t="str">
        <f t="shared" si="37"/>
        <v/>
      </c>
      <c r="I821" s="159" t="str">
        <f t="shared" si="38"/>
        <v/>
      </c>
    </row>
    <row r="822" spans="1:9" hidden="1" x14ac:dyDescent="0.25">
      <c r="A822" s="102" t="s">
        <v>3979</v>
      </c>
      <c r="B822" s="103" t="s">
        <v>3980</v>
      </c>
      <c r="C822" s="104" t="s">
        <v>32</v>
      </c>
      <c r="D822" s="104">
        <v>0</v>
      </c>
      <c r="E822" s="158" t="s">
        <v>1079</v>
      </c>
      <c r="F822" s="159" t="str">
        <f t="shared" si="36"/>
        <v/>
      </c>
      <c r="G822" s="160" t="e">
        <f>IF(A822&lt;&gt;"",IF(AND(#REF!="Padrão",$H$4=#REF!),BDI!$B$17,IF(AND(#REF!="Padrão",$H$4=#REF!),BDI!$C$17,IF(AND(#REF!="Diferenciado",$H$4=#REF!),BDI!$G$17,IF(AND(#REF!="Diferenciado",$H$4=#REF!),BDI!$H$17,IF(#REF!="ZERO",0))))),"")</f>
        <v>#REF!</v>
      </c>
      <c r="H822" s="161" t="str">
        <f t="shared" si="37"/>
        <v/>
      </c>
      <c r="I822" s="159" t="str">
        <f t="shared" si="38"/>
        <v/>
      </c>
    </row>
    <row r="823" spans="1:9" hidden="1" x14ac:dyDescent="0.25">
      <c r="A823" s="102" t="s">
        <v>3981</v>
      </c>
      <c r="B823" s="103" t="s">
        <v>3982</v>
      </c>
      <c r="C823" s="104" t="s">
        <v>32</v>
      </c>
      <c r="D823" s="104">
        <v>0</v>
      </c>
      <c r="E823" s="158" t="s">
        <v>1079</v>
      </c>
      <c r="F823" s="159" t="str">
        <f t="shared" si="36"/>
        <v/>
      </c>
      <c r="G823" s="160" t="e">
        <f>IF(A823&lt;&gt;"",IF(AND(#REF!="Padrão",$H$4=#REF!),BDI!$B$17,IF(AND(#REF!="Padrão",$H$4=#REF!),BDI!$C$17,IF(AND(#REF!="Diferenciado",$H$4=#REF!),BDI!$G$17,IF(AND(#REF!="Diferenciado",$H$4=#REF!),BDI!$H$17,IF(#REF!="ZERO",0))))),"")</f>
        <v>#REF!</v>
      </c>
      <c r="H823" s="161" t="str">
        <f t="shared" si="37"/>
        <v/>
      </c>
      <c r="I823" s="159" t="str">
        <f t="shared" si="38"/>
        <v/>
      </c>
    </row>
    <row r="824" spans="1:9" hidden="1" x14ac:dyDescent="0.25">
      <c r="A824" s="102" t="s">
        <v>3983</v>
      </c>
      <c r="B824" s="103" t="s">
        <v>3984</v>
      </c>
      <c r="C824" s="104" t="s">
        <v>32</v>
      </c>
      <c r="D824" s="104">
        <v>0</v>
      </c>
      <c r="E824" s="158" t="s">
        <v>1079</v>
      </c>
      <c r="F824" s="159" t="str">
        <f t="shared" si="36"/>
        <v/>
      </c>
      <c r="G824" s="160" t="e">
        <f>IF(A824&lt;&gt;"",IF(AND(#REF!="Padrão",$H$4=#REF!),BDI!$B$17,IF(AND(#REF!="Padrão",$H$4=#REF!),BDI!$C$17,IF(AND(#REF!="Diferenciado",$H$4=#REF!),BDI!$G$17,IF(AND(#REF!="Diferenciado",$H$4=#REF!),BDI!$H$17,IF(#REF!="ZERO",0))))),"")</f>
        <v>#REF!</v>
      </c>
      <c r="H824" s="161" t="str">
        <f t="shared" si="37"/>
        <v/>
      </c>
      <c r="I824" s="159" t="str">
        <f t="shared" si="38"/>
        <v/>
      </c>
    </row>
    <row r="825" spans="1:9" hidden="1" x14ac:dyDescent="0.25">
      <c r="A825" s="102" t="s">
        <v>3985</v>
      </c>
      <c r="B825" s="103" t="s">
        <v>3986</v>
      </c>
      <c r="C825" s="104" t="s">
        <v>32</v>
      </c>
      <c r="D825" s="104">
        <v>0</v>
      </c>
      <c r="E825" s="158" t="s">
        <v>1079</v>
      </c>
      <c r="F825" s="159" t="str">
        <f t="shared" si="36"/>
        <v/>
      </c>
      <c r="G825" s="160" t="e">
        <f>IF(A825&lt;&gt;"",IF(AND(#REF!="Padrão",$H$4=#REF!),BDI!$B$17,IF(AND(#REF!="Padrão",$H$4=#REF!),BDI!$C$17,IF(AND(#REF!="Diferenciado",$H$4=#REF!),BDI!$G$17,IF(AND(#REF!="Diferenciado",$H$4=#REF!),BDI!$H$17,IF(#REF!="ZERO",0))))),"")</f>
        <v>#REF!</v>
      </c>
      <c r="H825" s="161" t="str">
        <f t="shared" si="37"/>
        <v/>
      </c>
      <c r="I825" s="159" t="str">
        <f t="shared" si="38"/>
        <v/>
      </c>
    </row>
    <row r="826" spans="1:9" hidden="1" x14ac:dyDescent="0.25">
      <c r="A826" s="102" t="s">
        <v>3987</v>
      </c>
      <c r="B826" s="103" t="s">
        <v>3988</v>
      </c>
      <c r="C826" s="104" t="s">
        <v>3989</v>
      </c>
      <c r="D826" s="104">
        <v>0</v>
      </c>
      <c r="E826" s="158" t="s">
        <v>1079</v>
      </c>
      <c r="F826" s="159" t="str">
        <f t="shared" si="36"/>
        <v/>
      </c>
      <c r="G826" s="160" t="e">
        <f>IF(A826&lt;&gt;"",IF(AND(#REF!="Padrão",$H$4=#REF!),BDI!$B$17,IF(AND(#REF!="Padrão",$H$4=#REF!),BDI!$C$17,IF(AND(#REF!="Diferenciado",$H$4=#REF!),BDI!$G$17,IF(AND(#REF!="Diferenciado",$H$4=#REF!),BDI!$H$17,IF(#REF!="ZERO",0))))),"")</f>
        <v>#REF!</v>
      </c>
      <c r="H826" s="161" t="str">
        <f t="shared" si="37"/>
        <v/>
      </c>
      <c r="I826" s="159" t="str">
        <f t="shared" si="38"/>
        <v/>
      </c>
    </row>
    <row r="827" spans="1:9" hidden="1" x14ac:dyDescent="0.25">
      <c r="A827" s="102" t="s">
        <v>3990</v>
      </c>
      <c r="B827" s="103" t="s">
        <v>3991</v>
      </c>
      <c r="C827" s="104" t="s">
        <v>32</v>
      </c>
      <c r="D827" s="104">
        <v>0</v>
      </c>
      <c r="E827" s="158" t="s">
        <v>1079</v>
      </c>
      <c r="F827" s="159" t="str">
        <f t="shared" si="36"/>
        <v/>
      </c>
      <c r="G827" s="160" t="e">
        <f>IF(A827&lt;&gt;"",IF(AND(#REF!="Padrão",$H$4=#REF!),BDI!$B$17,IF(AND(#REF!="Padrão",$H$4=#REF!),BDI!$C$17,IF(AND(#REF!="Diferenciado",$H$4=#REF!),BDI!$G$17,IF(AND(#REF!="Diferenciado",$H$4=#REF!),BDI!$H$17,IF(#REF!="ZERO",0))))),"")</f>
        <v>#REF!</v>
      </c>
      <c r="H827" s="161" t="str">
        <f t="shared" si="37"/>
        <v/>
      </c>
      <c r="I827" s="159" t="str">
        <f t="shared" si="38"/>
        <v/>
      </c>
    </row>
    <row r="828" spans="1:9" ht="25.5" hidden="1" x14ac:dyDescent="0.25">
      <c r="A828" s="102" t="s">
        <v>3992</v>
      </c>
      <c r="B828" s="103" t="s">
        <v>3993</v>
      </c>
      <c r="C828" s="104" t="s">
        <v>3994</v>
      </c>
      <c r="D828" s="104">
        <v>0</v>
      </c>
      <c r="E828" s="158" t="s">
        <v>1079</v>
      </c>
      <c r="F828" s="159" t="str">
        <f t="shared" si="36"/>
        <v/>
      </c>
      <c r="G828" s="160" t="e">
        <f>IF(A828&lt;&gt;"",IF(AND(#REF!="Padrão",$H$4=#REF!),BDI!$B$17,IF(AND(#REF!="Padrão",$H$4=#REF!),BDI!$C$17,IF(AND(#REF!="Diferenciado",$H$4=#REF!),BDI!$G$17,IF(AND(#REF!="Diferenciado",$H$4=#REF!),BDI!$H$17,IF(#REF!="ZERO",0))))),"")</f>
        <v>#REF!</v>
      </c>
      <c r="H828" s="161" t="str">
        <f t="shared" si="37"/>
        <v/>
      </c>
      <c r="I828" s="159" t="str">
        <f t="shared" si="38"/>
        <v/>
      </c>
    </row>
    <row r="829" spans="1:9" ht="25.5" hidden="1" x14ac:dyDescent="0.25">
      <c r="A829" s="102" t="s">
        <v>3995</v>
      </c>
      <c r="B829" s="103" t="s">
        <v>3996</v>
      </c>
      <c r="C829" s="104" t="s">
        <v>3994</v>
      </c>
      <c r="D829" s="104">
        <v>0</v>
      </c>
      <c r="E829" s="158" t="s">
        <v>1079</v>
      </c>
      <c r="F829" s="159" t="str">
        <f t="shared" si="36"/>
        <v/>
      </c>
      <c r="G829" s="160" t="e">
        <f>IF(A829&lt;&gt;"",IF(AND(#REF!="Padrão",$H$4=#REF!),BDI!$B$17,IF(AND(#REF!="Padrão",$H$4=#REF!),BDI!$C$17,IF(AND(#REF!="Diferenciado",$H$4=#REF!),BDI!$G$17,IF(AND(#REF!="Diferenciado",$H$4=#REF!),BDI!$H$17,IF(#REF!="ZERO",0))))),"")</f>
        <v>#REF!</v>
      </c>
      <c r="H829" s="161" t="str">
        <f t="shared" si="37"/>
        <v/>
      </c>
      <c r="I829" s="159" t="str">
        <f t="shared" si="38"/>
        <v/>
      </c>
    </row>
    <row r="830" spans="1:9" hidden="1" x14ac:dyDescent="0.25">
      <c r="A830" s="102" t="s">
        <v>3997</v>
      </c>
      <c r="B830" s="103" t="s">
        <v>3998</v>
      </c>
      <c r="C830" s="104" t="s">
        <v>3994</v>
      </c>
      <c r="D830" s="104">
        <v>0</v>
      </c>
      <c r="E830" s="158" t="s">
        <v>1079</v>
      </c>
      <c r="F830" s="159" t="str">
        <f t="shared" si="36"/>
        <v/>
      </c>
      <c r="G830" s="160" t="e">
        <f>IF(A830&lt;&gt;"",IF(AND(#REF!="Padrão",$H$4=#REF!),BDI!$B$17,IF(AND(#REF!="Padrão",$H$4=#REF!),BDI!$C$17,IF(AND(#REF!="Diferenciado",$H$4=#REF!),BDI!$G$17,IF(AND(#REF!="Diferenciado",$H$4=#REF!),BDI!$H$17,IF(#REF!="ZERO",0))))),"")</f>
        <v>#REF!</v>
      </c>
      <c r="H830" s="161" t="str">
        <f t="shared" si="37"/>
        <v/>
      </c>
      <c r="I830" s="159" t="str">
        <f t="shared" si="38"/>
        <v/>
      </c>
    </row>
    <row r="831" spans="1:9" hidden="1" x14ac:dyDescent="0.25">
      <c r="A831" s="102" t="s">
        <v>3999</v>
      </c>
      <c r="B831" s="103" t="s">
        <v>4000</v>
      </c>
      <c r="C831" s="104" t="s">
        <v>3994</v>
      </c>
      <c r="D831" s="104">
        <v>0</v>
      </c>
      <c r="E831" s="158" t="s">
        <v>1079</v>
      </c>
      <c r="F831" s="159" t="str">
        <f t="shared" si="36"/>
        <v/>
      </c>
      <c r="G831" s="160" t="e">
        <f>IF(A831&lt;&gt;"",IF(AND(#REF!="Padrão",$H$4=#REF!),BDI!$B$17,IF(AND(#REF!="Padrão",$H$4=#REF!),BDI!$C$17,IF(AND(#REF!="Diferenciado",$H$4=#REF!),BDI!$G$17,IF(AND(#REF!="Diferenciado",$H$4=#REF!),BDI!$H$17,IF(#REF!="ZERO",0))))),"")</f>
        <v>#REF!</v>
      </c>
      <c r="H831" s="161" t="str">
        <f t="shared" si="37"/>
        <v/>
      </c>
      <c r="I831" s="159" t="str">
        <f t="shared" si="38"/>
        <v/>
      </c>
    </row>
    <row r="832" spans="1:9" hidden="1" x14ac:dyDescent="0.25">
      <c r="A832" s="102" t="s">
        <v>4001</v>
      </c>
      <c r="B832" s="103" t="s">
        <v>4002</v>
      </c>
      <c r="C832" s="104" t="s">
        <v>3229</v>
      </c>
      <c r="D832" s="104">
        <v>0</v>
      </c>
      <c r="E832" s="158" t="s">
        <v>1079</v>
      </c>
      <c r="F832" s="159" t="str">
        <f t="shared" si="36"/>
        <v/>
      </c>
      <c r="G832" s="160" t="e">
        <f>IF(A832&lt;&gt;"",IF(AND(#REF!="Padrão",$H$4=#REF!),BDI!$B$17,IF(AND(#REF!="Padrão",$H$4=#REF!),BDI!$C$17,IF(AND(#REF!="Diferenciado",$H$4=#REF!),BDI!$G$17,IF(AND(#REF!="Diferenciado",$H$4=#REF!),BDI!$H$17,IF(#REF!="ZERO",0))))),"")</f>
        <v>#REF!</v>
      </c>
      <c r="H832" s="161" t="str">
        <f t="shared" si="37"/>
        <v/>
      </c>
      <c r="I832" s="159" t="str">
        <f t="shared" si="38"/>
        <v/>
      </c>
    </row>
    <row r="833" spans="1:9" hidden="1" x14ac:dyDescent="0.25">
      <c r="A833" s="102" t="s">
        <v>4003</v>
      </c>
      <c r="B833" s="103" t="s">
        <v>4004</v>
      </c>
      <c r="C833" s="104" t="s">
        <v>3229</v>
      </c>
      <c r="D833" s="104">
        <v>0</v>
      </c>
      <c r="E833" s="158" t="s">
        <v>1079</v>
      </c>
      <c r="F833" s="159" t="str">
        <f t="shared" si="36"/>
        <v/>
      </c>
      <c r="G833" s="160" t="e">
        <f>IF(A833&lt;&gt;"",IF(AND(#REF!="Padrão",$H$4=#REF!),BDI!$B$17,IF(AND(#REF!="Padrão",$H$4=#REF!),BDI!$C$17,IF(AND(#REF!="Diferenciado",$H$4=#REF!),BDI!$G$17,IF(AND(#REF!="Diferenciado",$H$4=#REF!),BDI!$H$17,IF(#REF!="ZERO",0))))),"")</f>
        <v>#REF!</v>
      </c>
      <c r="H833" s="161" t="str">
        <f t="shared" si="37"/>
        <v/>
      </c>
      <c r="I833" s="159" t="str">
        <f t="shared" si="38"/>
        <v/>
      </c>
    </row>
    <row r="834" spans="1:9" hidden="1" x14ac:dyDescent="0.25">
      <c r="A834" s="102" t="s">
        <v>4005</v>
      </c>
      <c r="B834" s="103" t="s">
        <v>4006</v>
      </c>
      <c r="C834" s="104" t="s">
        <v>3994</v>
      </c>
      <c r="D834" s="104">
        <v>0</v>
      </c>
      <c r="E834" s="158" t="s">
        <v>1079</v>
      </c>
      <c r="F834" s="159" t="str">
        <f t="shared" si="36"/>
        <v/>
      </c>
      <c r="G834" s="160" t="e">
        <f>IF(A834&lt;&gt;"",IF(AND(#REF!="Padrão",$H$4=#REF!),BDI!$B$17,IF(AND(#REF!="Padrão",$H$4=#REF!),BDI!$C$17,IF(AND(#REF!="Diferenciado",$H$4=#REF!),BDI!$G$17,IF(AND(#REF!="Diferenciado",$H$4=#REF!),BDI!$H$17,IF(#REF!="ZERO",0))))),"")</f>
        <v>#REF!</v>
      </c>
      <c r="H834" s="161" t="str">
        <f t="shared" si="37"/>
        <v/>
      </c>
      <c r="I834" s="159" t="str">
        <f t="shared" si="38"/>
        <v/>
      </c>
    </row>
    <row r="835" spans="1:9" hidden="1" x14ac:dyDescent="0.25">
      <c r="A835" s="102" t="s">
        <v>4007</v>
      </c>
      <c r="B835" s="103" t="s">
        <v>4008</v>
      </c>
      <c r="C835" s="104" t="s">
        <v>3994</v>
      </c>
      <c r="D835" s="104">
        <v>0</v>
      </c>
      <c r="E835" s="158" t="s">
        <v>1079</v>
      </c>
      <c r="F835" s="159" t="str">
        <f t="shared" si="36"/>
        <v/>
      </c>
      <c r="G835" s="160" t="e">
        <f>IF(A835&lt;&gt;"",IF(AND(#REF!="Padrão",$H$4=#REF!),BDI!$B$17,IF(AND(#REF!="Padrão",$H$4=#REF!),BDI!$C$17,IF(AND(#REF!="Diferenciado",$H$4=#REF!),BDI!$G$17,IF(AND(#REF!="Diferenciado",$H$4=#REF!),BDI!$H$17,IF(#REF!="ZERO",0))))),"")</f>
        <v>#REF!</v>
      </c>
      <c r="H835" s="161" t="str">
        <f t="shared" si="37"/>
        <v/>
      </c>
      <c r="I835" s="159" t="str">
        <f t="shared" si="38"/>
        <v/>
      </c>
    </row>
    <row r="836" spans="1:9" hidden="1" x14ac:dyDescent="0.25">
      <c r="A836" s="102" t="s">
        <v>4009</v>
      </c>
      <c r="B836" s="103" t="s">
        <v>4010</v>
      </c>
      <c r="C836" s="104" t="s">
        <v>3994</v>
      </c>
      <c r="D836" s="104">
        <v>0</v>
      </c>
      <c r="E836" s="158" t="s">
        <v>1079</v>
      </c>
      <c r="F836" s="159" t="str">
        <f t="shared" si="36"/>
        <v/>
      </c>
      <c r="G836" s="160" t="e">
        <f>IF(A836&lt;&gt;"",IF(AND(#REF!="Padrão",$H$4=#REF!),BDI!$B$17,IF(AND(#REF!="Padrão",$H$4=#REF!),BDI!$C$17,IF(AND(#REF!="Diferenciado",$H$4=#REF!),BDI!$G$17,IF(AND(#REF!="Diferenciado",$H$4=#REF!),BDI!$H$17,IF(#REF!="ZERO",0))))),"")</f>
        <v>#REF!</v>
      </c>
      <c r="H836" s="161" t="str">
        <f t="shared" si="37"/>
        <v/>
      </c>
      <c r="I836" s="159" t="str">
        <f t="shared" si="38"/>
        <v/>
      </c>
    </row>
    <row r="837" spans="1:9" hidden="1" x14ac:dyDescent="0.25">
      <c r="A837" s="102" t="s">
        <v>4011</v>
      </c>
      <c r="B837" s="103" t="s">
        <v>4012</v>
      </c>
      <c r="C837" s="104" t="s">
        <v>3994</v>
      </c>
      <c r="D837" s="104">
        <v>0</v>
      </c>
      <c r="E837" s="158" t="s">
        <v>1079</v>
      </c>
      <c r="F837" s="159" t="str">
        <f t="shared" si="36"/>
        <v/>
      </c>
      <c r="G837" s="160" t="e">
        <f>IF(A837&lt;&gt;"",IF(AND(#REF!="Padrão",$H$4=#REF!),BDI!$B$17,IF(AND(#REF!="Padrão",$H$4=#REF!),BDI!$C$17,IF(AND(#REF!="Diferenciado",$H$4=#REF!),BDI!$G$17,IF(AND(#REF!="Diferenciado",$H$4=#REF!),BDI!$H$17,IF(#REF!="ZERO",0))))),"")</f>
        <v>#REF!</v>
      </c>
      <c r="H837" s="161" t="str">
        <f t="shared" si="37"/>
        <v/>
      </c>
      <c r="I837" s="159" t="str">
        <f t="shared" si="38"/>
        <v/>
      </c>
    </row>
    <row r="838" spans="1:9" hidden="1" x14ac:dyDescent="0.25">
      <c r="A838" s="102" t="s">
        <v>4013</v>
      </c>
      <c r="B838" s="103" t="s">
        <v>4014</v>
      </c>
      <c r="C838" s="104" t="s">
        <v>3994</v>
      </c>
      <c r="D838" s="104">
        <v>0</v>
      </c>
      <c r="E838" s="158" t="s">
        <v>1079</v>
      </c>
      <c r="F838" s="159" t="str">
        <f t="shared" si="36"/>
        <v/>
      </c>
      <c r="G838" s="160" t="e">
        <f>IF(A838&lt;&gt;"",IF(AND(#REF!="Padrão",$H$4=#REF!),BDI!$B$17,IF(AND(#REF!="Padrão",$H$4=#REF!),BDI!$C$17,IF(AND(#REF!="Diferenciado",$H$4=#REF!),BDI!$G$17,IF(AND(#REF!="Diferenciado",$H$4=#REF!),BDI!$H$17,IF(#REF!="ZERO",0))))),"")</f>
        <v>#REF!</v>
      </c>
      <c r="H838" s="161" t="str">
        <f t="shared" si="37"/>
        <v/>
      </c>
      <c r="I838" s="159" t="str">
        <f t="shared" si="38"/>
        <v/>
      </c>
    </row>
    <row r="839" spans="1:9" hidden="1" x14ac:dyDescent="0.25">
      <c r="A839" s="102" t="s">
        <v>4015</v>
      </c>
      <c r="B839" s="103" t="s">
        <v>4016</v>
      </c>
      <c r="C839" s="104" t="s">
        <v>3229</v>
      </c>
      <c r="D839" s="104">
        <v>0</v>
      </c>
      <c r="E839" s="158" t="s">
        <v>1079</v>
      </c>
      <c r="F839" s="159" t="str">
        <f t="shared" ref="F839:F902" si="39">IF(ISNUMBER(E839),D839*E839,"")</f>
        <v/>
      </c>
      <c r="G839" s="160" t="e">
        <f>IF(A839&lt;&gt;"",IF(AND(#REF!="Padrão",$H$4=#REF!),BDI!$B$17,IF(AND(#REF!="Padrão",$H$4=#REF!),BDI!$C$17,IF(AND(#REF!="Diferenciado",$H$4=#REF!),BDI!$G$17,IF(AND(#REF!="Diferenciado",$H$4=#REF!),BDI!$H$17,IF(#REF!="ZERO",0))))),"")</f>
        <v>#REF!</v>
      </c>
      <c r="H839" s="161" t="str">
        <f t="shared" ref="H839:H902" si="40">IF(ISNUMBER(E839),ROUND(E839*(1+G839),2),"")</f>
        <v/>
      </c>
      <c r="I839" s="159" t="str">
        <f t="shared" ref="I839:I902" si="41">IF(ISNUMBER(E839),ROUND(H839*D839,2),"")</f>
        <v/>
      </c>
    </row>
    <row r="840" spans="1:9" hidden="1" x14ac:dyDescent="0.25">
      <c r="A840" s="102" t="s">
        <v>4017</v>
      </c>
      <c r="B840" s="103" t="s">
        <v>4018</v>
      </c>
      <c r="C840" s="104" t="s">
        <v>3994</v>
      </c>
      <c r="D840" s="104">
        <v>0</v>
      </c>
      <c r="E840" s="158" t="s">
        <v>1079</v>
      </c>
      <c r="F840" s="159" t="str">
        <f t="shared" si="39"/>
        <v/>
      </c>
      <c r="G840" s="160" t="e">
        <f>IF(A840&lt;&gt;"",IF(AND(#REF!="Padrão",$H$4=#REF!),BDI!$B$17,IF(AND(#REF!="Padrão",$H$4=#REF!),BDI!$C$17,IF(AND(#REF!="Diferenciado",$H$4=#REF!),BDI!$G$17,IF(AND(#REF!="Diferenciado",$H$4=#REF!),BDI!$H$17,IF(#REF!="ZERO",0))))),"")</f>
        <v>#REF!</v>
      </c>
      <c r="H840" s="161" t="str">
        <f t="shared" si="40"/>
        <v/>
      </c>
      <c r="I840" s="159" t="str">
        <f t="shared" si="41"/>
        <v/>
      </c>
    </row>
    <row r="841" spans="1:9" hidden="1" x14ac:dyDescent="0.25">
      <c r="A841" s="102" t="s">
        <v>4019</v>
      </c>
      <c r="B841" s="103" t="s">
        <v>4020</v>
      </c>
      <c r="C841" s="104" t="s">
        <v>3994</v>
      </c>
      <c r="D841" s="104">
        <v>0</v>
      </c>
      <c r="E841" s="158" t="s">
        <v>1079</v>
      </c>
      <c r="F841" s="159" t="str">
        <f t="shared" si="39"/>
        <v/>
      </c>
      <c r="G841" s="160" t="e">
        <f>IF(A841&lt;&gt;"",IF(AND(#REF!="Padrão",$H$4=#REF!),BDI!$B$17,IF(AND(#REF!="Padrão",$H$4=#REF!),BDI!$C$17,IF(AND(#REF!="Diferenciado",$H$4=#REF!),BDI!$G$17,IF(AND(#REF!="Diferenciado",$H$4=#REF!),BDI!$H$17,IF(#REF!="ZERO",0))))),"")</f>
        <v>#REF!</v>
      </c>
      <c r="H841" s="161" t="str">
        <f t="shared" si="40"/>
        <v/>
      </c>
      <c r="I841" s="159" t="str">
        <f t="shared" si="41"/>
        <v/>
      </c>
    </row>
    <row r="842" spans="1:9" hidden="1" x14ac:dyDescent="0.25">
      <c r="A842" s="102" t="s">
        <v>4021</v>
      </c>
      <c r="B842" s="103" t="s">
        <v>4022</v>
      </c>
      <c r="C842" s="104" t="s">
        <v>3994</v>
      </c>
      <c r="D842" s="104">
        <v>0</v>
      </c>
      <c r="E842" s="158" t="s">
        <v>1079</v>
      </c>
      <c r="F842" s="159" t="str">
        <f t="shared" si="39"/>
        <v/>
      </c>
      <c r="G842" s="160" t="e">
        <f>IF(A842&lt;&gt;"",IF(AND(#REF!="Padrão",$H$4=#REF!),BDI!$B$17,IF(AND(#REF!="Padrão",$H$4=#REF!),BDI!$C$17,IF(AND(#REF!="Diferenciado",$H$4=#REF!),BDI!$G$17,IF(AND(#REF!="Diferenciado",$H$4=#REF!),BDI!$H$17,IF(#REF!="ZERO",0))))),"")</f>
        <v>#REF!</v>
      </c>
      <c r="H842" s="161" t="str">
        <f t="shared" si="40"/>
        <v/>
      </c>
      <c r="I842" s="159" t="str">
        <f t="shared" si="41"/>
        <v/>
      </c>
    </row>
    <row r="843" spans="1:9" hidden="1" x14ac:dyDescent="0.25">
      <c r="A843" s="102" t="s">
        <v>4023</v>
      </c>
      <c r="B843" s="103" t="s">
        <v>4024</v>
      </c>
      <c r="C843" s="104" t="s">
        <v>3994</v>
      </c>
      <c r="D843" s="104">
        <v>0</v>
      </c>
      <c r="E843" s="158" t="s">
        <v>1079</v>
      </c>
      <c r="F843" s="159" t="str">
        <f t="shared" si="39"/>
        <v/>
      </c>
      <c r="G843" s="160" t="e">
        <f>IF(A843&lt;&gt;"",IF(AND(#REF!="Padrão",$H$4=#REF!),BDI!$B$17,IF(AND(#REF!="Padrão",$H$4=#REF!),BDI!$C$17,IF(AND(#REF!="Diferenciado",$H$4=#REF!),BDI!$G$17,IF(AND(#REF!="Diferenciado",$H$4=#REF!),BDI!$H$17,IF(#REF!="ZERO",0))))),"")</f>
        <v>#REF!</v>
      </c>
      <c r="H843" s="161" t="str">
        <f t="shared" si="40"/>
        <v/>
      </c>
      <c r="I843" s="159" t="str">
        <f t="shared" si="41"/>
        <v/>
      </c>
    </row>
    <row r="844" spans="1:9" hidden="1" x14ac:dyDescent="0.25">
      <c r="A844" s="102" t="s">
        <v>4025</v>
      </c>
      <c r="B844" s="103" t="s">
        <v>4026</v>
      </c>
      <c r="C844" s="104" t="s">
        <v>3994</v>
      </c>
      <c r="D844" s="104">
        <v>0</v>
      </c>
      <c r="E844" s="158" t="s">
        <v>1079</v>
      </c>
      <c r="F844" s="159" t="str">
        <f t="shared" si="39"/>
        <v/>
      </c>
      <c r="G844" s="160" t="e">
        <f>IF(A844&lt;&gt;"",IF(AND(#REF!="Padrão",$H$4=#REF!),BDI!$B$17,IF(AND(#REF!="Padrão",$H$4=#REF!),BDI!$C$17,IF(AND(#REF!="Diferenciado",$H$4=#REF!),BDI!$G$17,IF(AND(#REF!="Diferenciado",$H$4=#REF!),BDI!$H$17,IF(#REF!="ZERO",0))))),"")</f>
        <v>#REF!</v>
      </c>
      <c r="H844" s="161" t="str">
        <f t="shared" si="40"/>
        <v/>
      </c>
      <c r="I844" s="159" t="str">
        <f t="shared" si="41"/>
        <v/>
      </c>
    </row>
    <row r="845" spans="1:9" hidden="1" x14ac:dyDescent="0.25">
      <c r="A845" s="102" t="s">
        <v>4027</v>
      </c>
      <c r="B845" s="103" t="s">
        <v>4028</v>
      </c>
      <c r="C845" s="104" t="s">
        <v>3994</v>
      </c>
      <c r="D845" s="104">
        <v>0</v>
      </c>
      <c r="E845" s="158" t="s">
        <v>1079</v>
      </c>
      <c r="F845" s="159" t="str">
        <f t="shared" si="39"/>
        <v/>
      </c>
      <c r="G845" s="160" t="e">
        <f>IF(A845&lt;&gt;"",IF(AND(#REF!="Padrão",$H$4=#REF!),BDI!$B$17,IF(AND(#REF!="Padrão",$H$4=#REF!),BDI!$C$17,IF(AND(#REF!="Diferenciado",$H$4=#REF!),BDI!$G$17,IF(AND(#REF!="Diferenciado",$H$4=#REF!),BDI!$H$17,IF(#REF!="ZERO",0))))),"")</f>
        <v>#REF!</v>
      </c>
      <c r="H845" s="161" t="str">
        <f t="shared" si="40"/>
        <v/>
      </c>
      <c r="I845" s="159" t="str">
        <f t="shared" si="41"/>
        <v/>
      </c>
    </row>
    <row r="846" spans="1:9" hidden="1" x14ac:dyDescent="0.25">
      <c r="A846" s="102" t="s">
        <v>4029</v>
      </c>
      <c r="B846" s="103" t="s">
        <v>4030</v>
      </c>
      <c r="C846" s="104" t="s">
        <v>3994</v>
      </c>
      <c r="D846" s="104">
        <v>0</v>
      </c>
      <c r="E846" s="158" t="s">
        <v>1079</v>
      </c>
      <c r="F846" s="159" t="str">
        <f t="shared" si="39"/>
        <v/>
      </c>
      <c r="G846" s="160" t="e">
        <f>IF(A846&lt;&gt;"",IF(AND(#REF!="Padrão",$H$4=#REF!),BDI!$B$17,IF(AND(#REF!="Padrão",$H$4=#REF!),BDI!$C$17,IF(AND(#REF!="Diferenciado",$H$4=#REF!),BDI!$G$17,IF(AND(#REF!="Diferenciado",$H$4=#REF!),BDI!$H$17,IF(#REF!="ZERO",0))))),"")</f>
        <v>#REF!</v>
      </c>
      <c r="H846" s="161" t="str">
        <f t="shared" si="40"/>
        <v/>
      </c>
      <c r="I846" s="159" t="str">
        <f t="shared" si="41"/>
        <v/>
      </c>
    </row>
    <row r="847" spans="1:9" hidden="1" x14ac:dyDescent="0.25">
      <c r="A847" s="102" t="s">
        <v>4031</v>
      </c>
      <c r="B847" s="103" t="s">
        <v>4032</v>
      </c>
      <c r="C847" s="104" t="s">
        <v>3994</v>
      </c>
      <c r="D847" s="104">
        <v>0</v>
      </c>
      <c r="E847" s="158" t="s">
        <v>1079</v>
      </c>
      <c r="F847" s="159" t="str">
        <f t="shared" si="39"/>
        <v/>
      </c>
      <c r="G847" s="160" t="e">
        <f>IF(A847&lt;&gt;"",IF(AND(#REF!="Padrão",$H$4=#REF!),BDI!$B$17,IF(AND(#REF!="Padrão",$H$4=#REF!),BDI!$C$17,IF(AND(#REF!="Diferenciado",$H$4=#REF!),BDI!$G$17,IF(AND(#REF!="Diferenciado",$H$4=#REF!),BDI!$H$17,IF(#REF!="ZERO",0))))),"")</f>
        <v>#REF!</v>
      </c>
      <c r="H847" s="161" t="str">
        <f t="shared" si="40"/>
        <v/>
      </c>
      <c r="I847" s="159" t="str">
        <f t="shared" si="41"/>
        <v/>
      </c>
    </row>
    <row r="848" spans="1:9" hidden="1" x14ac:dyDescent="0.25">
      <c r="A848" s="102" t="s">
        <v>4033</v>
      </c>
      <c r="B848" s="103" t="s">
        <v>4034</v>
      </c>
      <c r="C848" s="104" t="s">
        <v>3994</v>
      </c>
      <c r="D848" s="104">
        <v>0</v>
      </c>
      <c r="E848" s="158" t="s">
        <v>1079</v>
      </c>
      <c r="F848" s="159" t="str">
        <f t="shared" si="39"/>
        <v/>
      </c>
      <c r="G848" s="160" t="e">
        <f>IF(A848&lt;&gt;"",IF(AND(#REF!="Padrão",$H$4=#REF!),BDI!$B$17,IF(AND(#REF!="Padrão",$H$4=#REF!),BDI!$C$17,IF(AND(#REF!="Diferenciado",$H$4=#REF!),BDI!$G$17,IF(AND(#REF!="Diferenciado",$H$4=#REF!),BDI!$H$17,IF(#REF!="ZERO",0))))),"")</f>
        <v>#REF!</v>
      </c>
      <c r="H848" s="161" t="str">
        <f t="shared" si="40"/>
        <v/>
      </c>
      <c r="I848" s="159" t="str">
        <f t="shared" si="41"/>
        <v/>
      </c>
    </row>
    <row r="849" spans="1:9" hidden="1" x14ac:dyDescent="0.25">
      <c r="A849" s="102" t="s">
        <v>1509</v>
      </c>
      <c r="B849" s="103" t="s">
        <v>4035</v>
      </c>
      <c r="C849" s="104" t="s">
        <v>189</v>
      </c>
      <c r="D849" s="104">
        <v>0</v>
      </c>
      <c r="E849" s="158">
        <f ca="1">OFFSET(INDEX(Composições!A:J,MATCH(Orçamentária!A849,Composições!A:A,0),10),2,0)</f>
        <v>33.597699999999996</v>
      </c>
      <c r="F849" s="159">
        <f t="shared" ca="1" si="39"/>
        <v>0</v>
      </c>
      <c r="G849" s="160" t="e">
        <f>IF(A849&lt;&gt;"",IF(AND(#REF!="Padrão",$H$4=#REF!),BDI!$B$17,IF(AND(#REF!="Padrão",$H$4=#REF!),BDI!$C$17,IF(AND(#REF!="Diferenciado",$H$4=#REF!),BDI!$G$17,IF(AND(#REF!="Diferenciado",$H$4=#REF!),BDI!$H$17,IF(#REF!="ZERO",0))))),"")</f>
        <v>#REF!</v>
      </c>
      <c r="H849" s="161" t="e">
        <f t="shared" ca="1" si="40"/>
        <v>#REF!</v>
      </c>
      <c r="I849" s="198" t="e">
        <f t="shared" ca="1" si="41"/>
        <v>#REF!</v>
      </c>
    </row>
    <row r="850" spans="1:9" x14ac:dyDescent="0.25">
      <c r="A850" s="204" t="s">
        <v>1512</v>
      </c>
      <c r="B850" s="205" t="s">
        <v>4036</v>
      </c>
      <c r="C850" s="206" t="s">
        <v>189</v>
      </c>
      <c r="D850" s="206">
        <v>11.08</v>
      </c>
      <c r="E850" s="158">
        <f ca="1">OFFSET(INDEX(Composições!A:J,MATCH(Orçamentária!A850,Composições!A:A,0),10),2,0)</f>
        <v>151.81569999999999</v>
      </c>
      <c r="F850" s="159">
        <f t="shared" ca="1" si="39"/>
        <v>1682.1179559999998</v>
      </c>
      <c r="G850" s="160">
        <f>BDI!$C$17</f>
        <v>0.24479999999999999</v>
      </c>
      <c r="H850" s="161">
        <f t="shared" ca="1" si="40"/>
        <v>188.98</v>
      </c>
      <c r="I850" s="202">
        <f t="shared" ca="1" si="41"/>
        <v>2093.9</v>
      </c>
    </row>
    <row r="851" spans="1:9" hidden="1" x14ac:dyDescent="0.25">
      <c r="A851" s="102" t="s">
        <v>1516</v>
      </c>
      <c r="B851" s="103" t="s">
        <v>4037</v>
      </c>
      <c r="C851" s="104" t="s">
        <v>189</v>
      </c>
      <c r="D851" s="104">
        <v>0</v>
      </c>
      <c r="E851" s="158">
        <f ca="1">OFFSET(INDEX(Composições!A:J,MATCH(Orçamentária!A851,Composições!A:A,0),10),2,0)</f>
        <v>120.46475000000001</v>
      </c>
      <c r="F851" s="159">
        <f t="shared" ca="1" si="39"/>
        <v>0</v>
      </c>
      <c r="G851" s="160" t="e">
        <f>IF(A851&lt;&gt;"",IF(AND(#REF!="Padrão",$H$4=#REF!),BDI!$B$17,IF(AND(#REF!="Padrão",$H$4=#REF!),BDI!$C$17,IF(AND(#REF!="Diferenciado",$H$4=#REF!),BDI!$G$17,IF(AND(#REF!="Diferenciado",$H$4=#REF!),BDI!$H$17,IF(#REF!="ZERO",0))))),"")</f>
        <v>#REF!</v>
      </c>
      <c r="H851" s="161" t="e">
        <f t="shared" ca="1" si="40"/>
        <v>#REF!</v>
      </c>
      <c r="I851" s="159" t="e">
        <f t="shared" ca="1" si="41"/>
        <v>#REF!</v>
      </c>
    </row>
    <row r="852" spans="1:9" hidden="1" x14ac:dyDescent="0.25">
      <c r="A852" s="102" t="s">
        <v>4038</v>
      </c>
      <c r="B852" s="103" t="s">
        <v>4039</v>
      </c>
      <c r="C852" s="104" t="s">
        <v>184</v>
      </c>
      <c r="D852" s="104">
        <v>0</v>
      </c>
      <c r="E852" s="158">
        <f ca="1">OFFSET(INDEX(Composições!A:J,MATCH(Orçamentária!A852,Composições!A:A,0),10),2,0)</f>
        <v>16.088249999999999</v>
      </c>
      <c r="F852" s="159">
        <f t="shared" ca="1" si="39"/>
        <v>0</v>
      </c>
      <c r="G852" s="160" t="e">
        <f>IF(A852&lt;&gt;"",IF(AND(#REF!="Padrão",$H$4=#REF!),BDI!$B$17,IF(AND(#REF!="Padrão",$H$4=#REF!),BDI!$C$17,IF(AND(#REF!="Diferenciado",$H$4=#REF!),BDI!$G$17,IF(AND(#REF!="Diferenciado",$H$4=#REF!),BDI!$H$17,IF(#REF!="ZERO",0))))),"")</f>
        <v>#REF!</v>
      </c>
      <c r="H852" s="161" t="e">
        <f t="shared" ca="1" si="40"/>
        <v>#REF!</v>
      </c>
      <c r="I852" s="159" t="e">
        <f t="shared" ca="1" si="41"/>
        <v>#REF!</v>
      </c>
    </row>
    <row r="853" spans="1:9" hidden="1" x14ac:dyDescent="0.25">
      <c r="A853" s="102" t="s">
        <v>4040</v>
      </c>
      <c r="B853" s="103" t="s">
        <v>4041</v>
      </c>
      <c r="C853" s="104" t="s">
        <v>184</v>
      </c>
      <c r="D853" s="104">
        <v>0</v>
      </c>
      <c r="E853" s="158">
        <f ca="1">OFFSET(INDEX(Composições!A:J,MATCH(Orçamentária!A853,Composições!A:A,0),10),2,0)</f>
        <v>24.132374999999996</v>
      </c>
      <c r="F853" s="159">
        <f t="shared" ca="1" si="39"/>
        <v>0</v>
      </c>
      <c r="G853" s="160" t="e">
        <f>IF(A853&lt;&gt;"",IF(AND(#REF!="Padrão",$H$4=#REF!),BDI!$B$17,IF(AND(#REF!="Padrão",$H$4=#REF!),BDI!$C$17,IF(AND(#REF!="Diferenciado",$H$4=#REF!),BDI!$G$17,IF(AND(#REF!="Diferenciado",$H$4=#REF!),BDI!$H$17,IF(#REF!="ZERO",0))))),"")</f>
        <v>#REF!</v>
      </c>
      <c r="H853" s="161" t="e">
        <f t="shared" ca="1" si="40"/>
        <v>#REF!</v>
      </c>
      <c r="I853" s="159" t="e">
        <f t="shared" ca="1" si="41"/>
        <v>#REF!</v>
      </c>
    </row>
    <row r="854" spans="1:9" hidden="1" x14ac:dyDescent="0.25">
      <c r="A854" s="102" t="s">
        <v>1520</v>
      </c>
      <c r="B854" s="103" t="s">
        <v>4042</v>
      </c>
      <c r="C854" s="104" t="s">
        <v>189</v>
      </c>
      <c r="D854" s="104">
        <v>0</v>
      </c>
      <c r="E854" s="158">
        <f ca="1">OFFSET(INDEX(Composições!A:J,MATCH(Orçamentária!A854,Composições!A:A,0),10),2,0)</f>
        <v>148.70824999999999</v>
      </c>
      <c r="F854" s="159">
        <f t="shared" ca="1" si="39"/>
        <v>0</v>
      </c>
      <c r="G854" s="160" t="e">
        <f>IF(A854&lt;&gt;"",IF(AND(#REF!="Padrão",$H$4=#REF!),BDI!$B$17,IF(AND(#REF!="Padrão",$H$4=#REF!),BDI!$C$17,IF(AND(#REF!="Diferenciado",$H$4=#REF!),BDI!$G$17,IF(AND(#REF!="Diferenciado",$H$4=#REF!),BDI!$H$17,IF(#REF!="ZERO",0))))),"")</f>
        <v>#REF!</v>
      </c>
      <c r="H854" s="161" t="e">
        <f t="shared" ca="1" si="40"/>
        <v>#REF!</v>
      </c>
      <c r="I854" s="159" t="e">
        <f t="shared" ca="1" si="41"/>
        <v>#REF!</v>
      </c>
    </row>
    <row r="855" spans="1:9" hidden="1" x14ac:dyDescent="0.25">
      <c r="A855" s="102" t="s">
        <v>1524</v>
      </c>
      <c r="B855" s="103" t="s">
        <v>4043</v>
      </c>
      <c r="C855" s="104" t="s">
        <v>32</v>
      </c>
      <c r="D855" s="104">
        <v>0</v>
      </c>
      <c r="E855" s="158">
        <f ca="1">OFFSET(INDEX(Composições!A:J,MATCH(Orçamentária!A855,Composições!A:A,0),10),2,0)</f>
        <v>3.6275749999999993</v>
      </c>
      <c r="F855" s="159">
        <f t="shared" ca="1" si="39"/>
        <v>0</v>
      </c>
      <c r="G855" s="160" t="e">
        <f>IF(A855&lt;&gt;"",IF(AND(#REF!="Padrão",$H$4=#REF!),BDI!$B$17,IF(AND(#REF!="Padrão",$H$4=#REF!),BDI!$C$17,IF(AND(#REF!="Diferenciado",$H$4=#REF!),BDI!$G$17,IF(AND(#REF!="Diferenciado",$H$4=#REF!),BDI!$H$17,IF(#REF!="ZERO",0))))),"")</f>
        <v>#REF!</v>
      </c>
      <c r="H855" s="161" t="e">
        <f t="shared" ca="1" si="40"/>
        <v>#REF!</v>
      </c>
      <c r="I855" s="159" t="e">
        <f t="shared" ca="1" si="41"/>
        <v>#REF!</v>
      </c>
    </row>
    <row r="856" spans="1:9" hidden="1" x14ac:dyDescent="0.25">
      <c r="A856" s="102" t="s">
        <v>1526</v>
      </c>
      <c r="B856" s="103" t="s">
        <v>4044</v>
      </c>
      <c r="C856" s="104" t="s">
        <v>32</v>
      </c>
      <c r="D856" s="104">
        <v>0</v>
      </c>
      <c r="E856" s="158">
        <f ca="1">OFFSET(INDEX(Composições!A:J,MATCH(Orçamentária!A856,Composições!A:A,0),10),2,0)</f>
        <v>6.3051499999999994</v>
      </c>
      <c r="F856" s="159">
        <f t="shared" ca="1" si="39"/>
        <v>0</v>
      </c>
      <c r="G856" s="160" t="e">
        <f>IF(A856&lt;&gt;"",IF(AND(#REF!="Padrão",$H$4=#REF!),BDI!$B$17,IF(AND(#REF!="Padrão",$H$4=#REF!),BDI!$C$17,IF(AND(#REF!="Diferenciado",$H$4=#REF!),BDI!$G$17,IF(AND(#REF!="Diferenciado",$H$4=#REF!),BDI!$H$17,IF(#REF!="ZERO",0))))),"")</f>
        <v>#REF!</v>
      </c>
      <c r="H856" s="161" t="e">
        <f t="shared" ca="1" si="40"/>
        <v>#REF!</v>
      </c>
      <c r="I856" s="159" t="e">
        <f t="shared" ca="1" si="41"/>
        <v>#REF!</v>
      </c>
    </row>
    <row r="857" spans="1:9" hidden="1" x14ac:dyDescent="0.25">
      <c r="A857" s="102" t="s">
        <v>1528</v>
      </c>
      <c r="B857" s="103" t="s">
        <v>4045</v>
      </c>
      <c r="C857" s="104" t="s">
        <v>32</v>
      </c>
      <c r="D857" s="104">
        <v>0</v>
      </c>
      <c r="E857" s="158">
        <f ca="1">OFFSET(INDEX(Composições!A:J,MATCH(Orçamentária!A857,Composições!A:A,0),10),2,0)</f>
        <v>3.6275749999999993</v>
      </c>
      <c r="F857" s="159">
        <f t="shared" ca="1" si="39"/>
        <v>0</v>
      </c>
      <c r="G857" s="160" t="e">
        <f>IF(A857&lt;&gt;"",IF(AND(#REF!="Padrão",$H$4=#REF!),BDI!$B$17,IF(AND(#REF!="Padrão",$H$4=#REF!),BDI!$C$17,IF(AND(#REF!="Diferenciado",$H$4=#REF!),BDI!$G$17,IF(AND(#REF!="Diferenciado",$H$4=#REF!),BDI!$H$17,IF(#REF!="ZERO",0))))),"")</f>
        <v>#REF!</v>
      </c>
      <c r="H857" s="161" t="e">
        <f t="shared" ca="1" si="40"/>
        <v>#REF!</v>
      </c>
      <c r="I857" s="159" t="e">
        <f t="shared" ca="1" si="41"/>
        <v>#REF!</v>
      </c>
    </row>
    <row r="858" spans="1:9" hidden="1" x14ac:dyDescent="0.25">
      <c r="A858" s="102" t="s">
        <v>1530</v>
      </c>
      <c r="B858" s="103" t="s">
        <v>4046</v>
      </c>
      <c r="C858" s="104" t="s">
        <v>32</v>
      </c>
      <c r="D858" s="104">
        <v>0</v>
      </c>
      <c r="E858" s="158">
        <f ca="1">OFFSET(INDEX(Composições!A:J,MATCH(Orçamentária!A858,Composições!A:A,0),10),2,0)</f>
        <v>5.3551499999999992</v>
      </c>
      <c r="F858" s="159">
        <f t="shared" ca="1" si="39"/>
        <v>0</v>
      </c>
      <c r="G858" s="160" t="e">
        <f>IF(A858&lt;&gt;"",IF(AND(#REF!="Padrão",$H$4=#REF!),BDI!$B$17,IF(AND(#REF!="Padrão",$H$4=#REF!),BDI!$C$17,IF(AND(#REF!="Diferenciado",$H$4=#REF!),BDI!$G$17,IF(AND(#REF!="Diferenciado",$H$4=#REF!),BDI!$H$17,IF(#REF!="ZERO",0))))),"")</f>
        <v>#REF!</v>
      </c>
      <c r="H858" s="161" t="e">
        <f t="shared" ca="1" si="40"/>
        <v>#REF!</v>
      </c>
      <c r="I858" s="159" t="e">
        <f t="shared" ca="1" si="41"/>
        <v>#REF!</v>
      </c>
    </row>
    <row r="859" spans="1:9" hidden="1" x14ac:dyDescent="0.25">
      <c r="A859" s="102" t="s">
        <v>1533</v>
      </c>
      <c r="B859" s="103" t="s">
        <v>4047</v>
      </c>
      <c r="C859" s="104" t="s">
        <v>32</v>
      </c>
      <c r="D859" s="104">
        <v>0</v>
      </c>
      <c r="E859" s="158">
        <f ca="1">OFFSET(INDEX(Composições!A:J,MATCH(Orçamentária!A859,Composições!A:A,0),10),2,0)</f>
        <v>2.6775749999999996</v>
      </c>
      <c r="F859" s="159">
        <f t="shared" ca="1" si="39"/>
        <v>0</v>
      </c>
      <c r="G859" s="160" t="e">
        <f>IF(A859&lt;&gt;"",IF(AND(#REF!="Padrão",$H$4=#REF!),BDI!$B$17,IF(AND(#REF!="Padrão",$H$4=#REF!),BDI!$C$17,IF(AND(#REF!="Diferenciado",$H$4=#REF!),BDI!$G$17,IF(AND(#REF!="Diferenciado",$H$4=#REF!),BDI!$H$17,IF(#REF!="ZERO",0))))),"")</f>
        <v>#REF!</v>
      </c>
      <c r="H859" s="161" t="e">
        <f t="shared" ca="1" si="40"/>
        <v>#REF!</v>
      </c>
      <c r="I859" s="159" t="e">
        <f t="shared" ca="1" si="41"/>
        <v>#REF!</v>
      </c>
    </row>
    <row r="860" spans="1:9" hidden="1" x14ac:dyDescent="0.25">
      <c r="A860" s="102" t="s">
        <v>1535</v>
      </c>
      <c r="B860" s="103" t="s">
        <v>4048</v>
      </c>
      <c r="C860" s="104" t="s">
        <v>32</v>
      </c>
      <c r="D860" s="104">
        <v>0</v>
      </c>
      <c r="E860" s="158">
        <f ca="1">OFFSET(INDEX(Composições!A:J,MATCH(Orçamentária!A860,Composições!A:A,0),10),2,0)</f>
        <v>7.1401999999999992</v>
      </c>
      <c r="F860" s="159">
        <f t="shared" ca="1" si="39"/>
        <v>0</v>
      </c>
      <c r="G860" s="160" t="e">
        <f>IF(A860&lt;&gt;"",IF(AND(#REF!="Padrão",$H$4=#REF!),BDI!$B$17,IF(AND(#REF!="Padrão",$H$4=#REF!),BDI!$C$17,IF(AND(#REF!="Diferenciado",$H$4=#REF!),BDI!$G$17,IF(AND(#REF!="Diferenciado",$H$4=#REF!),BDI!$H$17,IF(#REF!="ZERO",0))))),"")</f>
        <v>#REF!</v>
      </c>
      <c r="H860" s="161" t="e">
        <f t="shared" ca="1" si="40"/>
        <v>#REF!</v>
      </c>
      <c r="I860" s="159" t="e">
        <f t="shared" ca="1" si="41"/>
        <v>#REF!</v>
      </c>
    </row>
    <row r="861" spans="1:9" hidden="1" x14ac:dyDescent="0.25">
      <c r="A861" s="102" t="s">
        <v>1537</v>
      </c>
      <c r="B861" s="103" t="s">
        <v>4049</v>
      </c>
      <c r="C861" s="104" t="s">
        <v>32</v>
      </c>
      <c r="D861" s="104">
        <v>0</v>
      </c>
      <c r="E861" s="158">
        <f ca="1">OFFSET(INDEX(Composições!A:J,MATCH(Orçamentária!A861,Composições!A:A,0),10),2,0)</f>
        <v>7.1401999999999992</v>
      </c>
      <c r="F861" s="159">
        <f t="shared" ca="1" si="39"/>
        <v>0</v>
      </c>
      <c r="G861" s="160" t="e">
        <f>IF(A861&lt;&gt;"",IF(AND(#REF!="Padrão",$H$4=#REF!),BDI!$B$17,IF(AND(#REF!="Padrão",$H$4=#REF!),BDI!$C$17,IF(AND(#REF!="Diferenciado",$H$4=#REF!),BDI!$G$17,IF(AND(#REF!="Diferenciado",$H$4=#REF!),BDI!$H$17,IF(#REF!="ZERO",0))))),"")</f>
        <v>#REF!</v>
      </c>
      <c r="H861" s="161" t="e">
        <f t="shared" ca="1" si="40"/>
        <v>#REF!</v>
      </c>
      <c r="I861" s="159" t="e">
        <f t="shared" ca="1" si="41"/>
        <v>#REF!</v>
      </c>
    </row>
    <row r="862" spans="1:9" hidden="1" x14ac:dyDescent="0.25">
      <c r="A862" s="102" t="s">
        <v>1539</v>
      </c>
      <c r="B862" s="103" t="s">
        <v>4050</v>
      </c>
      <c r="C862" s="104" t="s">
        <v>32</v>
      </c>
      <c r="D862" s="104">
        <v>0</v>
      </c>
      <c r="E862" s="158">
        <f ca="1">OFFSET(INDEX(Composições!A:J,MATCH(Orçamentária!A862,Composições!A:A,0),10),2,0)</f>
        <v>7.1401999999999992</v>
      </c>
      <c r="F862" s="159">
        <f t="shared" ca="1" si="39"/>
        <v>0</v>
      </c>
      <c r="G862" s="160" t="e">
        <f>IF(A862&lt;&gt;"",IF(AND(#REF!="Padrão",$H$4=#REF!),BDI!$B$17,IF(AND(#REF!="Padrão",$H$4=#REF!),BDI!$C$17,IF(AND(#REF!="Diferenciado",$H$4=#REF!),BDI!$G$17,IF(AND(#REF!="Diferenciado",$H$4=#REF!),BDI!$H$17,IF(#REF!="ZERO",0))))),"")</f>
        <v>#REF!</v>
      </c>
      <c r="H862" s="161" t="e">
        <f t="shared" ca="1" si="40"/>
        <v>#REF!</v>
      </c>
      <c r="I862" s="159" t="e">
        <f t="shared" ca="1" si="41"/>
        <v>#REF!</v>
      </c>
    </row>
    <row r="863" spans="1:9" hidden="1" x14ac:dyDescent="0.25">
      <c r="A863" s="102" t="s">
        <v>1541</v>
      </c>
      <c r="B863" s="103" t="s">
        <v>4051</v>
      </c>
      <c r="C863" s="104" t="s">
        <v>32</v>
      </c>
      <c r="D863" s="104">
        <v>0</v>
      </c>
      <c r="E863" s="158">
        <f ca="1">OFFSET(INDEX(Composições!A:J,MATCH(Orçamentária!A863,Composições!A:A,0),10),2,0)</f>
        <v>4.4626249999999992</v>
      </c>
      <c r="F863" s="159">
        <f t="shared" ca="1" si="39"/>
        <v>0</v>
      </c>
      <c r="G863" s="160" t="e">
        <f>IF(A863&lt;&gt;"",IF(AND(#REF!="Padrão",$H$4=#REF!),BDI!$B$17,IF(AND(#REF!="Padrão",$H$4=#REF!),BDI!$C$17,IF(AND(#REF!="Diferenciado",$H$4=#REF!),BDI!$G$17,IF(AND(#REF!="Diferenciado",$H$4=#REF!),BDI!$H$17,IF(#REF!="ZERO",0))))),"")</f>
        <v>#REF!</v>
      </c>
      <c r="H863" s="161" t="e">
        <f t="shared" ca="1" si="40"/>
        <v>#REF!</v>
      </c>
      <c r="I863" s="159" t="e">
        <f t="shared" ca="1" si="41"/>
        <v>#REF!</v>
      </c>
    </row>
    <row r="864" spans="1:9" hidden="1" x14ac:dyDescent="0.25">
      <c r="A864" s="102" t="s">
        <v>1543</v>
      </c>
      <c r="B864" s="103" t="s">
        <v>4052</v>
      </c>
      <c r="C864" s="104" t="s">
        <v>32</v>
      </c>
      <c r="D864" s="104">
        <v>0</v>
      </c>
      <c r="E864" s="158">
        <f ca="1">OFFSET(INDEX(Composições!A:J,MATCH(Orçamentária!A864,Composições!A:A,0),10),2,0)</f>
        <v>4.4626249999999992</v>
      </c>
      <c r="F864" s="159">
        <f t="shared" ca="1" si="39"/>
        <v>0</v>
      </c>
      <c r="G864" s="160" t="e">
        <f>IF(A864&lt;&gt;"",IF(AND(#REF!="Padrão",$H$4=#REF!),BDI!$B$17,IF(AND(#REF!="Padrão",$H$4=#REF!),BDI!$C$17,IF(AND(#REF!="Diferenciado",$H$4=#REF!),BDI!$G$17,IF(AND(#REF!="Diferenciado",$H$4=#REF!),BDI!$H$17,IF(#REF!="ZERO",0))))),"")</f>
        <v>#REF!</v>
      </c>
      <c r="H864" s="161" t="e">
        <f t="shared" ca="1" si="40"/>
        <v>#REF!</v>
      </c>
      <c r="I864" s="159" t="e">
        <f t="shared" ca="1" si="41"/>
        <v>#REF!</v>
      </c>
    </row>
    <row r="865" spans="1:9" hidden="1" x14ac:dyDescent="0.25">
      <c r="A865" s="102" t="s">
        <v>1545</v>
      </c>
      <c r="B865" s="103" t="s">
        <v>4053</v>
      </c>
      <c r="C865" s="104" t="s">
        <v>32</v>
      </c>
      <c r="D865" s="104">
        <v>0</v>
      </c>
      <c r="E865" s="158">
        <f ca="1">OFFSET(INDEX(Composições!A:J,MATCH(Orçamentária!A865,Composições!A:A,0),10),2,0)</f>
        <v>4.4626249999999992</v>
      </c>
      <c r="F865" s="159">
        <f t="shared" ca="1" si="39"/>
        <v>0</v>
      </c>
      <c r="G865" s="160" t="e">
        <f>IF(A865&lt;&gt;"",IF(AND(#REF!="Padrão",$H$4=#REF!),BDI!$B$17,IF(AND(#REF!="Padrão",$H$4=#REF!),BDI!$C$17,IF(AND(#REF!="Diferenciado",$H$4=#REF!),BDI!$G$17,IF(AND(#REF!="Diferenciado",$H$4=#REF!),BDI!$H$17,IF(#REF!="ZERO",0))))),"")</f>
        <v>#REF!</v>
      </c>
      <c r="H865" s="161" t="e">
        <f t="shared" ca="1" si="40"/>
        <v>#REF!</v>
      </c>
      <c r="I865" s="159" t="e">
        <f t="shared" ca="1" si="41"/>
        <v>#REF!</v>
      </c>
    </row>
    <row r="866" spans="1:9" hidden="1" x14ac:dyDescent="0.25">
      <c r="A866" s="102" t="s">
        <v>1547</v>
      </c>
      <c r="B866" s="103" t="s">
        <v>4054</v>
      </c>
      <c r="C866" s="104" t="s">
        <v>32</v>
      </c>
      <c r="D866" s="104">
        <v>0</v>
      </c>
      <c r="E866" s="158">
        <f ca="1">OFFSET(INDEX(Composições!A:J,MATCH(Orçamentária!A866,Composições!A:A,0),10),2,0)</f>
        <v>5.4126249999999994</v>
      </c>
      <c r="F866" s="159">
        <f t="shared" ca="1" si="39"/>
        <v>0</v>
      </c>
      <c r="G866" s="160" t="e">
        <f>IF(A866&lt;&gt;"",IF(AND(#REF!="Padrão",$H$4=#REF!),BDI!$B$17,IF(AND(#REF!="Padrão",$H$4=#REF!),BDI!$C$17,IF(AND(#REF!="Diferenciado",$H$4=#REF!),BDI!$G$17,IF(AND(#REF!="Diferenciado",$H$4=#REF!),BDI!$H$17,IF(#REF!="ZERO",0))))),"")</f>
        <v>#REF!</v>
      </c>
      <c r="H866" s="161" t="e">
        <f t="shared" ca="1" si="40"/>
        <v>#REF!</v>
      </c>
      <c r="I866" s="159" t="e">
        <f t="shared" ca="1" si="41"/>
        <v>#REF!</v>
      </c>
    </row>
    <row r="867" spans="1:9" hidden="1" x14ac:dyDescent="0.25">
      <c r="A867" s="102" t="s">
        <v>1549</v>
      </c>
      <c r="B867" s="103" t="s">
        <v>4055</v>
      </c>
      <c r="C867" s="104" t="s">
        <v>32</v>
      </c>
      <c r="D867" s="104">
        <v>0</v>
      </c>
      <c r="E867" s="158">
        <f ca="1">OFFSET(INDEX(Composições!A:J,MATCH(Orçamentária!A867,Composições!A:A,0),10),2,0)</f>
        <v>37.493630999999993</v>
      </c>
      <c r="F867" s="159">
        <f t="shared" ca="1" si="39"/>
        <v>0</v>
      </c>
      <c r="G867" s="160" t="e">
        <f>IF(A867&lt;&gt;"",IF(AND(#REF!="Padrão",$H$4=#REF!),BDI!$B$17,IF(AND(#REF!="Padrão",$H$4=#REF!),BDI!$C$17,IF(AND(#REF!="Diferenciado",$H$4=#REF!),BDI!$G$17,IF(AND(#REF!="Diferenciado",$H$4=#REF!),BDI!$H$17,IF(#REF!="ZERO",0))))),"")</f>
        <v>#REF!</v>
      </c>
      <c r="H867" s="161" t="e">
        <f t="shared" ca="1" si="40"/>
        <v>#REF!</v>
      </c>
      <c r="I867" s="159" t="e">
        <f t="shared" ca="1" si="41"/>
        <v>#REF!</v>
      </c>
    </row>
    <row r="868" spans="1:9" hidden="1" x14ac:dyDescent="0.25">
      <c r="A868" s="102" t="s">
        <v>1553</v>
      </c>
      <c r="B868" s="103" t="s">
        <v>4056</v>
      </c>
      <c r="C868" s="104" t="s">
        <v>32</v>
      </c>
      <c r="D868" s="104">
        <v>0</v>
      </c>
      <c r="E868" s="158">
        <f ca="1">OFFSET(INDEX(Composições!A:J,MATCH(Orçamentária!A868,Composições!A:A,0),10),2,0)</f>
        <v>3.5700999999999996</v>
      </c>
      <c r="F868" s="159">
        <f t="shared" ca="1" si="39"/>
        <v>0</v>
      </c>
      <c r="G868" s="160" t="e">
        <f>IF(A868&lt;&gt;"",IF(AND(#REF!="Padrão",$H$4=#REF!),BDI!$B$17,IF(AND(#REF!="Padrão",$H$4=#REF!),BDI!$C$17,IF(AND(#REF!="Diferenciado",$H$4=#REF!),BDI!$G$17,IF(AND(#REF!="Diferenciado",$H$4=#REF!),BDI!$H$17,IF(#REF!="ZERO",0))))),"")</f>
        <v>#REF!</v>
      </c>
      <c r="H868" s="161" t="e">
        <f t="shared" ca="1" si="40"/>
        <v>#REF!</v>
      </c>
      <c r="I868" s="159" t="e">
        <f t="shared" ca="1" si="41"/>
        <v>#REF!</v>
      </c>
    </row>
    <row r="869" spans="1:9" hidden="1" x14ac:dyDescent="0.25">
      <c r="A869" s="102" t="s">
        <v>1555</v>
      </c>
      <c r="B869" s="103" t="s">
        <v>4057</v>
      </c>
      <c r="C869" s="104" t="s">
        <v>32</v>
      </c>
      <c r="D869" s="104">
        <v>0</v>
      </c>
      <c r="E869" s="158">
        <f ca="1">OFFSET(INDEX(Composições!A:J,MATCH(Orçamentária!A869,Composições!A:A,0),10),2,0)</f>
        <v>7.1401999999999992</v>
      </c>
      <c r="F869" s="159">
        <f t="shared" ca="1" si="39"/>
        <v>0</v>
      </c>
      <c r="G869" s="160" t="e">
        <f>IF(A869&lt;&gt;"",IF(AND(#REF!="Padrão",$H$4=#REF!),BDI!$B$17,IF(AND(#REF!="Padrão",$H$4=#REF!),BDI!$C$17,IF(AND(#REF!="Diferenciado",$H$4=#REF!),BDI!$G$17,IF(AND(#REF!="Diferenciado",$H$4=#REF!),BDI!$H$17,IF(#REF!="ZERO",0))))),"")</f>
        <v>#REF!</v>
      </c>
      <c r="H869" s="161" t="e">
        <f t="shared" ca="1" si="40"/>
        <v>#REF!</v>
      </c>
      <c r="I869" s="159" t="e">
        <f t="shared" ca="1" si="41"/>
        <v>#REF!</v>
      </c>
    </row>
    <row r="870" spans="1:9" hidden="1" x14ac:dyDescent="0.25">
      <c r="A870" s="102" t="s">
        <v>1557</v>
      </c>
      <c r="B870" s="103" t="s">
        <v>4058</v>
      </c>
      <c r="C870" s="104" t="s">
        <v>32</v>
      </c>
      <c r="D870" s="104">
        <v>0</v>
      </c>
      <c r="E870" s="158">
        <f ca="1">OFFSET(INDEX(Composições!A:J,MATCH(Orçamentária!A870,Composições!A:A,0),10),2,0)</f>
        <v>6.3051499999999994</v>
      </c>
      <c r="F870" s="159">
        <f t="shared" ca="1" si="39"/>
        <v>0</v>
      </c>
      <c r="G870" s="160" t="e">
        <f>IF(A870&lt;&gt;"",IF(AND(#REF!="Padrão",$H$4=#REF!),BDI!$B$17,IF(AND(#REF!="Padrão",$H$4=#REF!),BDI!$C$17,IF(AND(#REF!="Diferenciado",$H$4=#REF!),BDI!$G$17,IF(AND(#REF!="Diferenciado",$H$4=#REF!),BDI!$H$17,IF(#REF!="ZERO",0))))),"")</f>
        <v>#REF!</v>
      </c>
      <c r="H870" s="161" t="e">
        <f t="shared" ca="1" si="40"/>
        <v>#REF!</v>
      </c>
      <c r="I870" s="159" t="e">
        <f t="shared" ca="1" si="41"/>
        <v>#REF!</v>
      </c>
    </row>
    <row r="871" spans="1:9" hidden="1" x14ac:dyDescent="0.25">
      <c r="A871" s="102" t="s">
        <v>1559</v>
      </c>
      <c r="B871" s="103" t="s">
        <v>4059</v>
      </c>
      <c r="C871" s="104" t="s">
        <v>184</v>
      </c>
      <c r="D871" s="104">
        <v>0</v>
      </c>
      <c r="E871" s="158">
        <f ca="1">OFFSET(INDEX(Composições!A:J,MATCH(Orçamentária!A871,Composições!A:A,0),10),2,0)</f>
        <v>8.7666949999999986</v>
      </c>
      <c r="F871" s="159">
        <f t="shared" ca="1" si="39"/>
        <v>0</v>
      </c>
      <c r="G871" s="160" t="e">
        <f>IF(A871&lt;&gt;"",IF(AND(#REF!="Padrão",$H$4=#REF!),BDI!$B$17,IF(AND(#REF!="Padrão",$H$4=#REF!),BDI!$C$17,IF(AND(#REF!="Diferenciado",$H$4=#REF!),BDI!$G$17,IF(AND(#REF!="Diferenciado",$H$4=#REF!),BDI!$H$17,IF(#REF!="ZERO",0))))),"")</f>
        <v>#REF!</v>
      </c>
      <c r="H871" s="161" t="e">
        <f t="shared" ca="1" si="40"/>
        <v>#REF!</v>
      </c>
      <c r="I871" s="159" t="e">
        <f t="shared" ca="1" si="41"/>
        <v>#REF!</v>
      </c>
    </row>
    <row r="872" spans="1:9" hidden="1" x14ac:dyDescent="0.25">
      <c r="A872" s="102" t="s">
        <v>1564</v>
      </c>
      <c r="B872" s="103" t="s">
        <v>4060</v>
      </c>
      <c r="C872" s="104" t="s">
        <v>184</v>
      </c>
      <c r="D872" s="104">
        <v>0</v>
      </c>
      <c r="E872" s="158">
        <f ca="1">OFFSET(INDEX(Composições!A:J,MATCH(Orçamentária!A872,Composições!A:A,0),10),2,0)</f>
        <v>26.497086499999995</v>
      </c>
      <c r="F872" s="159">
        <f t="shared" ca="1" si="39"/>
        <v>0</v>
      </c>
      <c r="G872" s="160" t="e">
        <f>IF(A872&lt;&gt;"",IF(AND(#REF!="Padrão",$H$4=#REF!),BDI!$B$17,IF(AND(#REF!="Padrão",$H$4=#REF!),BDI!$C$17,IF(AND(#REF!="Diferenciado",$H$4=#REF!),BDI!$G$17,IF(AND(#REF!="Diferenciado",$H$4=#REF!),BDI!$H$17,IF(#REF!="ZERO",0))))),"")</f>
        <v>#REF!</v>
      </c>
      <c r="H872" s="161" t="e">
        <f t="shared" ca="1" si="40"/>
        <v>#REF!</v>
      </c>
      <c r="I872" s="159" t="e">
        <f t="shared" ca="1" si="41"/>
        <v>#REF!</v>
      </c>
    </row>
    <row r="873" spans="1:9" hidden="1" x14ac:dyDescent="0.25">
      <c r="A873" s="102" t="s">
        <v>1567</v>
      </c>
      <c r="B873" s="103" t="s">
        <v>4061</v>
      </c>
      <c r="C873" s="104" t="s">
        <v>184</v>
      </c>
      <c r="D873" s="104">
        <v>0</v>
      </c>
      <c r="E873" s="158">
        <f ca="1">OFFSET(INDEX(Composições!A:J,MATCH(Orçamentária!A873,Composições!A:A,0),10),2,0)</f>
        <v>11.2555905</v>
      </c>
      <c r="F873" s="159">
        <f t="shared" ca="1" si="39"/>
        <v>0</v>
      </c>
      <c r="G873" s="160" t="e">
        <f>IF(A873&lt;&gt;"",IF(AND(#REF!="Padrão",$H$4=#REF!),BDI!$B$17,IF(AND(#REF!="Padrão",$H$4=#REF!),BDI!$C$17,IF(AND(#REF!="Diferenciado",$H$4=#REF!),BDI!$G$17,IF(AND(#REF!="Diferenciado",$H$4=#REF!),BDI!$H$17,IF(#REF!="ZERO",0))))),"")</f>
        <v>#REF!</v>
      </c>
      <c r="H873" s="161" t="e">
        <f t="shared" ca="1" si="40"/>
        <v>#REF!</v>
      </c>
      <c r="I873" s="159" t="e">
        <f t="shared" ca="1" si="41"/>
        <v>#REF!</v>
      </c>
    </row>
    <row r="874" spans="1:9" hidden="1" x14ac:dyDescent="0.25">
      <c r="A874" s="102" t="s">
        <v>1569</v>
      </c>
      <c r="B874" s="103" t="s">
        <v>4062</v>
      </c>
      <c r="C874" s="104" t="s">
        <v>184</v>
      </c>
      <c r="D874" s="104">
        <v>0</v>
      </c>
      <c r="E874" s="158">
        <f ca="1">OFFSET(INDEX(Composições!A:J,MATCH(Orçamentária!A874,Composições!A:A,0),10),2,0)</f>
        <v>17.690225499999997</v>
      </c>
      <c r="F874" s="159">
        <f t="shared" ca="1" si="39"/>
        <v>0</v>
      </c>
      <c r="G874" s="160" t="e">
        <f>IF(A874&lt;&gt;"",IF(AND(#REF!="Padrão",$H$4=#REF!),BDI!$B$17,IF(AND(#REF!="Padrão",$H$4=#REF!),BDI!$C$17,IF(AND(#REF!="Diferenciado",$H$4=#REF!),BDI!$G$17,IF(AND(#REF!="Diferenciado",$H$4=#REF!),BDI!$H$17,IF(#REF!="ZERO",0))))),"")</f>
        <v>#REF!</v>
      </c>
      <c r="H874" s="161" t="e">
        <f t="shared" ca="1" si="40"/>
        <v>#REF!</v>
      </c>
      <c r="I874" s="159" t="e">
        <f t="shared" ca="1" si="41"/>
        <v>#REF!</v>
      </c>
    </row>
    <row r="875" spans="1:9" hidden="1" x14ac:dyDescent="0.25">
      <c r="A875" s="102" t="s">
        <v>1570</v>
      </c>
      <c r="B875" s="103" t="s">
        <v>4063</v>
      </c>
      <c r="C875" s="104" t="s">
        <v>184</v>
      </c>
      <c r="D875" s="104">
        <v>0</v>
      </c>
      <c r="E875" s="158">
        <f ca="1">OFFSET(INDEX(Composições!A:J,MATCH(Orçamentária!A875,Composições!A:A,0),10),2,0)</f>
        <v>5.6861299999999995</v>
      </c>
      <c r="F875" s="159">
        <f t="shared" ca="1" si="39"/>
        <v>0</v>
      </c>
      <c r="G875" s="160" t="e">
        <f>IF(A875&lt;&gt;"",IF(AND(#REF!="Padrão",$H$4=#REF!),BDI!$B$17,IF(AND(#REF!="Padrão",$H$4=#REF!),BDI!$C$17,IF(AND(#REF!="Diferenciado",$H$4=#REF!),BDI!$G$17,IF(AND(#REF!="Diferenciado",$H$4=#REF!),BDI!$H$17,IF(#REF!="ZERO",0))))),"")</f>
        <v>#REF!</v>
      </c>
      <c r="H875" s="161" t="e">
        <f t="shared" ca="1" si="40"/>
        <v>#REF!</v>
      </c>
      <c r="I875" s="159" t="e">
        <f t="shared" ca="1" si="41"/>
        <v>#REF!</v>
      </c>
    </row>
    <row r="876" spans="1:9" hidden="1" x14ac:dyDescent="0.25">
      <c r="A876" s="102" t="s">
        <v>1572</v>
      </c>
      <c r="B876" s="103" t="s">
        <v>4064</v>
      </c>
      <c r="C876" s="104" t="s">
        <v>32</v>
      </c>
      <c r="D876" s="104">
        <v>0</v>
      </c>
      <c r="E876" s="158">
        <f ca="1">OFFSET(INDEX(Composições!A:J,MATCH(Orçamentária!A876,Composições!A:A,0),10),2,0)</f>
        <v>6.3051499999999994</v>
      </c>
      <c r="F876" s="159">
        <f t="shared" ca="1" si="39"/>
        <v>0</v>
      </c>
      <c r="G876" s="160" t="e">
        <f>IF(A876&lt;&gt;"",IF(AND(#REF!="Padrão",$H$4=#REF!),BDI!$B$17,IF(AND(#REF!="Padrão",$H$4=#REF!),BDI!$C$17,IF(AND(#REF!="Diferenciado",$H$4=#REF!),BDI!$G$17,IF(AND(#REF!="Diferenciado",$H$4=#REF!),BDI!$H$17,IF(#REF!="ZERO",0))))),"")</f>
        <v>#REF!</v>
      </c>
      <c r="H876" s="161" t="e">
        <f t="shared" ca="1" si="40"/>
        <v>#REF!</v>
      </c>
      <c r="I876" s="159" t="e">
        <f t="shared" ca="1" si="41"/>
        <v>#REF!</v>
      </c>
    </row>
    <row r="877" spans="1:9" hidden="1" x14ac:dyDescent="0.25">
      <c r="A877" s="102" t="s">
        <v>1574</v>
      </c>
      <c r="B877" s="103" t="s">
        <v>4065</v>
      </c>
      <c r="C877" s="104" t="s">
        <v>184</v>
      </c>
      <c r="D877" s="104">
        <v>0</v>
      </c>
      <c r="E877" s="158">
        <f ca="1">OFFSET(INDEX(Composições!A:J,MATCH(Orçamentária!A877,Composições!A:A,0),10),2,0)</f>
        <v>5.3551499999999992</v>
      </c>
      <c r="F877" s="159">
        <f t="shared" ca="1" si="39"/>
        <v>0</v>
      </c>
      <c r="G877" s="160" t="e">
        <f>IF(A877&lt;&gt;"",IF(AND(#REF!="Padrão",$H$4=#REF!),BDI!$B$17,IF(AND(#REF!="Padrão",$H$4=#REF!),BDI!$C$17,IF(AND(#REF!="Diferenciado",$H$4=#REF!),BDI!$G$17,IF(AND(#REF!="Diferenciado",$H$4=#REF!),BDI!$H$17,IF(#REF!="ZERO",0))))),"")</f>
        <v>#REF!</v>
      </c>
      <c r="H877" s="161" t="e">
        <f t="shared" ca="1" si="40"/>
        <v>#REF!</v>
      </c>
      <c r="I877" s="159" t="e">
        <f t="shared" ca="1" si="41"/>
        <v>#REF!</v>
      </c>
    </row>
    <row r="878" spans="1:9" hidden="1" x14ac:dyDescent="0.25">
      <c r="A878" s="102" t="s">
        <v>1576</v>
      </c>
      <c r="B878" s="103" t="s">
        <v>4066</v>
      </c>
      <c r="C878" s="104" t="s">
        <v>32</v>
      </c>
      <c r="D878" s="104">
        <v>0</v>
      </c>
      <c r="E878" s="158">
        <f ca="1">OFFSET(INDEX(Composições!A:J,MATCH(Orçamentária!A878,Composições!A:A,0),10),2,0)</f>
        <v>2.6775749999999996</v>
      </c>
      <c r="F878" s="159">
        <f t="shared" ca="1" si="39"/>
        <v>0</v>
      </c>
      <c r="G878" s="160" t="e">
        <f>IF(A878&lt;&gt;"",IF(AND(#REF!="Padrão",$H$4=#REF!),BDI!$B$17,IF(AND(#REF!="Padrão",$H$4=#REF!),BDI!$C$17,IF(AND(#REF!="Diferenciado",$H$4=#REF!),BDI!$G$17,IF(AND(#REF!="Diferenciado",$H$4=#REF!),BDI!$H$17,IF(#REF!="ZERO",0))))),"")</f>
        <v>#REF!</v>
      </c>
      <c r="H878" s="161" t="e">
        <f t="shared" ca="1" si="40"/>
        <v>#REF!</v>
      </c>
      <c r="I878" s="159" t="e">
        <f t="shared" ca="1" si="41"/>
        <v>#REF!</v>
      </c>
    </row>
    <row r="879" spans="1:9" hidden="1" x14ac:dyDescent="0.25">
      <c r="A879" s="102" t="s">
        <v>1578</v>
      </c>
      <c r="B879" s="103" t="s">
        <v>4067</v>
      </c>
      <c r="C879" s="104" t="s">
        <v>32</v>
      </c>
      <c r="D879" s="104">
        <v>0</v>
      </c>
      <c r="E879" s="158">
        <f ca="1">OFFSET(INDEX(Composições!A:J,MATCH(Orçamentária!A879,Composições!A:A,0),10),2,0)</f>
        <v>2.6775749999999996</v>
      </c>
      <c r="F879" s="159">
        <f t="shared" ca="1" si="39"/>
        <v>0</v>
      </c>
      <c r="G879" s="160" t="e">
        <f>IF(A879&lt;&gt;"",IF(AND(#REF!="Padrão",$H$4=#REF!),BDI!$B$17,IF(AND(#REF!="Padrão",$H$4=#REF!),BDI!$C$17,IF(AND(#REF!="Diferenciado",$H$4=#REF!),BDI!$G$17,IF(AND(#REF!="Diferenciado",$H$4=#REF!),BDI!$H$17,IF(#REF!="ZERO",0))))),"")</f>
        <v>#REF!</v>
      </c>
      <c r="H879" s="161" t="e">
        <f t="shared" ca="1" si="40"/>
        <v>#REF!</v>
      </c>
      <c r="I879" s="159" t="e">
        <f t="shared" ca="1" si="41"/>
        <v>#REF!</v>
      </c>
    </row>
    <row r="880" spans="1:9" hidden="1" x14ac:dyDescent="0.25">
      <c r="A880" s="102" t="s">
        <v>1580</v>
      </c>
      <c r="B880" s="103" t="s">
        <v>4068</v>
      </c>
      <c r="C880" s="104" t="s">
        <v>32</v>
      </c>
      <c r="D880" s="104">
        <v>0</v>
      </c>
      <c r="E880" s="158">
        <f ca="1">OFFSET(INDEX(Composições!A:J,MATCH(Orçamentária!A880,Composições!A:A,0),10),2,0)</f>
        <v>2.7350499999999998</v>
      </c>
      <c r="F880" s="159">
        <f t="shared" ca="1" si="39"/>
        <v>0</v>
      </c>
      <c r="G880" s="160" t="e">
        <f>IF(A880&lt;&gt;"",IF(AND(#REF!="Padrão",$H$4=#REF!),BDI!$B$17,IF(AND(#REF!="Padrão",$H$4=#REF!),BDI!$C$17,IF(AND(#REF!="Diferenciado",$H$4=#REF!),BDI!$G$17,IF(AND(#REF!="Diferenciado",$H$4=#REF!),BDI!$H$17,IF(#REF!="ZERO",0))))),"")</f>
        <v>#REF!</v>
      </c>
      <c r="H880" s="161" t="e">
        <f t="shared" ca="1" si="40"/>
        <v>#REF!</v>
      </c>
      <c r="I880" s="159" t="e">
        <f t="shared" ca="1" si="41"/>
        <v>#REF!</v>
      </c>
    </row>
    <row r="881" spans="1:9" hidden="1" x14ac:dyDescent="0.25">
      <c r="A881" s="102" t="s">
        <v>1582</v>
      </c>
      <c r="B881" s="103" t="s">
        <v>4069</v>
      </c>
      <c r="C881" s="104" t="s">
        <v>32</v>
      </c>
      <c r="D881" s="104">
        <v>0</v>
      </c>
      <c r="E881" s="158">
        <f ca="1">OFFSET(INDEX(Composições!A:J,MATCH(Orçamentária!A881,Composições!A:A,0),10),2,0)</f>
        <v>8.0901999999999994</v>
      </c>
      <c r="F881" s="159">
        <f t="shared" ca="1" si="39"/>
        <v>0</v>
      </c>
      <c r="G881" s="160" t="e">
        <f>IF(A881&lt;&gt;"",IF(AND(#REF!="Padrão",$H$4=#REF!),BDI!$B$17,IF(AND(#REF!="Padrão",$H$4=#REF!),BDI!$C$17,IF(AND(#REF!="Diferenciado",$H$4=#REF!),BDI!$G$17,IF(AND(#REF!="Diferenciado",$H$4=#REF!),BDI!$H$17,IF(#REF!="ZERO",0))))),"")</f>
        <v>#REF!</v>
      </c>
      <c r="H881" s="161" t="e">
        <f t="shared" ca="1" si="40"/>
        <v>#REF!</v>
      </c>
      <c r="I881" s="159" t="e">
        <f t="shared" ca="1" si="41"/>
        <v>#REF!</v>
      </c>
    </row>
    <row r="882" spans="1:9" hidden="1" x14ac:dyDescent="0.25">
      <c r="A882" s="102" t="s">
        <v>1584</v>
      </c>
      <c r="B882" s="103" t="s">
        <v>4070</v>
      </c>
      <c r="C882" s="104" t="s">
        <v>32</v>
      </c>
      <c r="D882" s="104">
        <v>0</v>
      </c>
      <c r="E882" s="158">
        <f ca="1">OFFSET(INDEX(Composições!A:J,MATCH(Orçamentária!A882,Composições!A:A,0),10),2,0)</f>
        <v>7.1401999999999992</v>
      </c>
      <c r="F882" s="159">
        <f t="shared" ca="1" si="39"/>
        <v>0</v>
      </c>
      <c r="G882" s="160" t="e">
        <f>IF(A882&lt;&gt;"",IF(AND(#REF!="Padrão",$H$4=#REF!),BDI!$B$17,IF(AND(#REF!="Padrão",$H$4=#REF!),BDI!$C$17,IF(AND(#REF!="Diferenciado",$H$4=#REF!),BDI!$G$17,IF(AND(#REF!="Diferenciado",$H$4=#REF!),BDI!$H$17,IF(#REF!="ZERO",0))))),"")</f>
        <v>#REF!</v>
      </c>
      <c r="H882" s="161" t="e">
        <f t="shared" ca="1" si="40"/>
        <v>#REF!</v>
      </c>
      <c r="I882" s="159" t="e">
        <f t="shared" ca="1" si="41"/>
        <v>#REF!</v>
      </c>
    </row>
    <row r="883" spans="1:9" hidden="1" x14ac:dyDescent="0.25">
      <c r="A883" s="102" t="s">
        <v>1586</v>
      </c>
      <c r="B883" s="103" t="s">
        <v>4071</v>
      </c>
      <c r="C883" s="104" t="s">
        <v>32</v>
      </c>
      <c r="D883" s="104">
        <v>0</v>
      </c>
      <c r="E883" s="158">
        <f ca="1">OFFSET(INDEX(Composições!A:J,MATCH(Orçamentária!A883,Composições!A:A,0),10),2,0)</f>
        <v>6.3051499999999994</v>
      </c>
      <c r="F883" s="159">
        <f t="shared" ca="1" si="39"/>
        <v>0</v>
      </c>
      <c r="G883" s="160" t="e">
        <f>IF(A883&lt;&gt;"",IF(AND(#REF!="Padrão",$H$4=#REF!),BDI!$B$17,IF(AND(#REF!="Padrão",$H$4=#REF!),BDI!$C$17,IF(AND(#REF!="Diferenciado",$H$4=#REF!),BDI!$G$17,IF(AND(#REF!="Diferenciado",$H$4=#REF!),BDI!$H$17,IF(#REF!="ZERO",0))))),"")</f>
        <v>#REF!</v>
      </c>
      <c r="H883" s="161" t="e">
        <f t="shared" ca="1" si="40"/>
        <v>#REF!</v>
      </c>
      <c r="I883" s="159" t="e">
        <f t="shared" ca="1" si="41"/>
        <v>#REF!</v>
      </c>
    </row>
    <row r="884" spans="1:9" hidden="1" x14ac:dyDescent="0.25">
      <c r="A884" s="102" t="s">
        <v>1588</v>
      </c>
      <c r="B884" s="103" t="s">
        <v>4072</v>
      </c>
      <c r="C884" s="104" t="s">
        <v>32</v>
      </c>
      <c r="D884" s="104">
        <v>0</v>
      </c>
      <c r="E884" s="158">
        <f ca="1">OFFSET(INDEX(Composições!A:J,MATCH(Orçamentária!A884,Composições!A:A,0),10),2,0)</f>
        <v>4.5200999999999993</v>
      </c>
      <c r="F884" s="159">
        <f t="shared" ca="1" si="39"/>
        <v>0</v>
      </c>
      <c r="G884" s="160" t="e">
        <f>IF(A884&lt;&gt;"",IF(AND(#REF!="Padrão",$H$4=#REF!),BDI!$B$17,IF(AND(#REF!="Padrão",$H$4=#REF!),BDI!$C$17,IF(AND(#REF!="Diferenciado",$H$4=#REF!),BDI!$G$17,IF(AND(#REF!="Diferenciado",$H$4=#REF!),BDI!$H$17,IF(#REF!="ZERO",0))))),"")</f>
        <v>#REF!</v>
      </c>
      <c r="H884" s="161" t="e">
        <f t="shared" ca="1" si="40"/>
        <v>#REF!</v>
      </c>
      <c r="I884" s="159" t="e">
        <f t="shared" ca="1" si="41"/>
        <v>#REF!</v>
      </c>
    </row>
    <row r="885" spans="1:9" hidden="1" x14ac:dyDescent="0.25">
      <c r="A885" s="102" t="s">
        <v>1590</v>
      </c>
      <c r="B885" s="103" t="s">
        <v>4073</v>
      </c>
      <c r="C885" s="104" t="s">
        <v>32</v>
      </c>
      <c r="D885" s="104">
        <v>0</v>
      </c>
      <c r="E885" s="158">
        <f ca="1">OFFSET(INDEX(Composições!A:J,MATCH(Orçamentária!A885,Composições!A:A,0),10),2,0)</f>
        <v>3.5700999999999996</v>
      </c>
      <c r="F885" s="159">
        <f t="shared" ca="1" si="39"/>
        <v>0</v>
      </c>
      <c r="G885" s="160" t="e">
        <f>IF(A885&lt;&gt;"",IF(AND(#REF!="Padrão",$H$4=#REF!),BDI!$B$17,IF(AND(#REF!="Padrão",$H$4=#REF!),BDI!$C$17,IF(AND(#REF!="Diferenciado",$H$4=#REF!),BDI!$G$17,IF(AND(#REF!="Diferenciado",$H$4=#REF!),BDI!$H$17,IF(#REF!="ZERO",0))))),"")</f>
        <v>#REF!</v>
      </c>
      <c r="H885" s="161" t="e">
        <f t="shared" ca="1" si="40"/>
        <v>#REF!</v>
      </c>
      <c r="I885" s="159" t="e">
        <f t="shared" ca="1" si="41"/>
        <v>#REF!</v>
      </c>
    </row>
    <row r="886" spans="1:9" hidden="1" x14ac:dyDescent="0.25">
      <c r="A886" s="102" t="s">
        <v>1592</v>
      </c>
      <c r="B886" s="103" t="s">
        <v>1594</v>
      </c>
      <c r="C886" s="104" t="s">
        <v>189</v>
      </c>
      <c r="D886" s="104">
        <v>0</v>
      </c>
      <c r="E886" s="158">
        <f ca="1">OFFSET(INDEX(Composições!A:J,MATCH(Orçamentária!A886,Composições!A:A,0),10),2,0)</f>
        <v>25.749749999999999</v>
      </c>
      <c r="F886" s="159">
        <f t="shared" ca="1" si="39"/>
        <v>0</v>
      </c>
      <c r="G886" s="160" t="e">
        <f>IF(A886&lt;&gt;"",IF(AND(#REF!="Padrão",$H$4=#REF!),BDI!$B$17,IF(AND(#REF!="Padrão",$H$4=#REF!),BDI!$C$17,IF(AND(#REF!="Diferenciado",$H$4=#REF!),BDI!$G$17,IF(AND(#REF!="Diferenciado",$H$4=#REF!),BDI!$H$17,IF(#REF!="ZERO",0))))),"")</f>
        <v>#REF!</v>
      </c>
      <c r="H886" s="161" t="e">
        <f t="shared" ca="1" si="40"/>
        <v>#REF!</v>
      </c>
      <c r="I886" s="159" t="e">
        <f t="shared" ca="1" si="41"/>
        <v>#REF!</v>
      </c>
    </row>
    <row r="887" spans="1:9" hidden="1" x14ac:dyDescent="0.25">
      <c r="A887" s="102" t="s">
        <v>4074</v>
      </c>
      <c r="B887" s="103" t="s">
        <v>4075</v>
      </c>
      <c r="C887" s="104" t="s">
        <v>32</v>
      </c>
      <c r="D887" s="104">
        <v>0</v>
      </c>
      <c r="E887" s="158" t="s">
        <v>1079</v>
      </c>
      <c r="F887" s="159" t="str">
        <f t="shared" si="39"/>
        <v/>
      </c>
      <c r="G887" s="160" t="e">
        <f>IF(A887&lt;&gt;"",IF(AND(#REF!="Padrão",$H$4=#REF!),BDI!$B$17,IF(AND(#REF!="Padrão",$H$4=#REF!),BDI!$C$17,IF(AND(#REF!="Diferenciado",$H$4=#REF!),BDI!$G$17,IF(AND(#REF!="Diferenciado",$H$4=#REF!),BDI!$H$17,IF(#REF!="ZERO",0))))),"")</f>
        <v>#REF!</v>
      </c>
      <c r="H887" s="161" t="str">
        <f t="shared" si="40"/>
        <v/>
      </c>
      <c r="I887" s="159" t="str">
        <f t="shared" si="41"/>
        <v/>
      </c>
    </row>
    <row r="888" spans="1:9" hidden="1" x14ac:dyDescent="0.25">
      <c r="A888" s="102" t="s">
        <v>1596</v>
      </c>
      <c r="B888" s="103" t="s">
        <v>4076</v>
      </c>
      <c r="C888" s="104" t="s">
        <v>32</v>
      </c>
      <c r="D888" s="104">
        <v>0</v>
      </c>
      <c r="E888" s="158">
        <f ca="1">OFFSET(INDEX(Composições!A:J,MATCH(Orçamentária!A888,Composições!A:A,0),10),2,0)</f>
        <v>3.5700999999999996</v>
      </c>
      <c r="F888" s="159">
        <f t="shared" ca="1" si="39"/>
        <v>0</v>
      </c>
      <c r="G888" s="160" t="e">
        <f>IF(A888&lt;&gt;"",IF(AND(#REF!="Padrão",$H$4=#REF!),BDI!$B$17,IF(AND(#REF!="Padrão",$H$4=#REF!),BDI!$C$17,IF(AND(#REF!="Diferenciado",$H$4=#REF!),BDI!$G$17,IF(AND(#REF!="Diferenciado",$H$4=#REF!),BDI!$H$17,IF(#REF!="ZERO",0))))),"")</f>
        <v>#REF!</v>
      </c>
      <c r="H888" s="161" t="e">
        <f t="shared" ca="1" si="40"/>
        <v>#REF!</v>
      </c>
      <c r="I888" s="159" t="e">
        <f t="shared" ca="1" si="41"/>
        <v>#REF!</v>
      </c>
    </row>
    <row r="889" spans="1:9" hidden="1" x14ac:dyDescent="0.25">
      <c r="A889" s="102" t="s">
        <v>1598</v>
      </c>
      <c r="B889" s="103" t="s">
        <v>4077</v>
      </c>
      <c r="C889" s="104" t="s">
        <v>32</v>
      </c>
      <c r="D889" s="104">
        <v>0</v>
      </c>
      <c r="E889" s="158">
        <f ca="1">OFFSET(INDEX(Composições!A:J,MATCH(Orçamentária!A889,Composições!A:A,0),10),2,0)</f>
        <v>3.5700999999999996</v>
      </c>
      <c r="F889" s="159">
        <f t="shared" ca="1" si="39"/>
        <v>0</v>
      </c>
      <c r="G889" s="160" t="e">
        <f>IF(A889&lt;&gt;"",IF(AND(#REF!="Padrão",$H$4=#REF!),BDI!$B$17,IF(AND(#REF!="Padrão",$H$4=#REF!),BDI!$C$17,IF(AND(#REF!="Diferenciado",$H$4=#REF!),BDI!$G$17,IF(AND(#REF!="Diferenciado",$H$4=#REF!),BDI!$H$17,IF(#REF!="ZERO",0))))),"")</f>
        <v>#REF!</v>
      </c>
      <c r="H889" s="161" t="e">
        <f t="shared" ca="1" si="40"/>
        <v>#REF!</v>
      </c>
      <c r="I889" s="159" t="e">
        <f t="shared" ca="1" si="41"/>
        <v>#REF!</v>
      </c>
    </row>
    <row r="890" spans="1:9" hidden="1" x14ac:dyDescent="0.25">
      <c r="A890" s="102" t="s">
        <v>1600</v>
      </c>
      <c r="B890" s="103" t="s">
        <v>4078</v>
      </c>
      <c r="C890" s="104" t="s">
        <v>32</v>
      </c>
      <c r="D890" s="104">
        <v>0</v>
      </c>
      <c r="E890" s="158">
        <f ca="1">OFFSET(INDEX(Composições!A:J,MATCH(Orçamentária!A890,Composições!A:A,0),10),2,0)</f>
        <v>3.5700999999999996</v>
      </c>
      <c r="F890" s="159">
        <f t="shared" ca="1" si="39"/>
        <v>0</v>
      </c>
      <c r="G890" s="160" t="e">
        <f>IF(A890&lt;&gt;"",IF(AND(#REF!="Padrão",$H$4=#REF!),BDI!$B$17,IF(AND(#REF!="Padrão",$H$4=#REF!),BDI!$C$17,IF(AND(#REF!="Diferenciado",$H$4=#REF!),BDI!$G$17,IF(AND(#REF!="Diferenciado",$H$4=#REF!),BDI!$H$17,IF(#REF!="ZERO",0))))),"")</f>
        <v>#REF!</v>
      </c>
      <c r="H890" s="161" t="e">
        <f t="shared" ca="1" si="40"/>
        <v>#REF!</v>
      </c>
      <c r="I890" s="159" t="e">
        <f t="shared" ca="1" si="41"/>
        <v>#REF!</v>
      </c>
    </row>
    <row r="891" spans="1:9" hidden="1" x14ac:dyDescent="0.25">
      <c r="A891" s="102" t="s">
        <v>1602</v>
      </c>
      <c r="B891" s="103" t="s">
        <v>4079</v>
      </c>
      <c r="C891" s="104" t="s">
        <v>32</v>
      </c>
      <c r="D891" s="104">
        <v>0</v>
      </c>
      <c r="E891" s="158">
        <f ca="1">OFFSET(INDEX(Composições!A:J,MATCH(Orçamentária!A891,Composições!A:A,0),10),2,0)</f>
        <v>26.775749999999995</v>
      </c>
      <c r="F891" s="159">
        <f t="shared" ca="1" si="39"/>
        <v>0</v>
      </c>
      <c r="G891" s="160" t="e">
        <f>IF(A891&lt;&gt;"",IF(AND(#REF!="Padrão",$H$4=#REF!),BDI!$B$17,IF(AND(#REF!="Padrão",$H$4=#REF!),BDI!$C$17,IF(AND(#REF!="Diferenciado",$H$4=#REF!),BDI!$G$17,IF(AND(#REF!="Diferenciado",$H$4=#REF!),BDI!$H$17,IF(#REF!="ZERO",0))))),"")</f>
        <v>#REF!</v>
      </c>
      <c r="H891" s="161" t="e">
        <f t="shared" ca="1" si="40"/>
        <v>#REF!</v>
      </c>
      <c r="I891" s="159" t="e">
        <f t="shared" ca="1" si="41"/>
        <v>#REF!</v>
      </c>
    </row>
    <row r="892" spans="1:9" hidden="1" x14ac:dyDescent="0.25">
      <c r="A892" s="102" t="s">
        <v>1604</v>
      </c>
      <c r="B892" s="103" t="s">
        <v>4080</v>
      </c>
      <c r="C892" s="104" t="s">
        <v>32</v>
      </c>
      <c r="D892" s="104">
        <v>0</v>
      </c>
      <c r="E892" s="158">
        <f ca="1">OFFSET(INDEX(Composições!A:J,MATCH(Orçamentária!A892,Composições!A:A,0),10),2,0)</f>
        <v>26.775749999999995</v>
      </c>
      <c r="F892" s="159">
        <f t="shared" ca="1" si="39"/>
        <v>0</v>
      </c>
      <c r="G892" s="160" t="e">
        <f>IF(A892&lt;&gt;"",IF(AND(#REF!="Padrão",$H$4=#REF!),BDI!$B$17,IF(AND(#REF!="Padrão",$H$4=#REF!),BDI!$C$17,IF(AND(#REF!="Diferenciado",$H$4=#REF!),BDI!$G$17,IF(AND(#REF!="Diferenciado",$H$4=#REF!),BDI!$H$17,IF(#REF!="ZERO",0))))),"")</f>
        <v>#REF!</v>
      </c>
      <c r="H892" s="161" t="e">
        <f t="shared" ca="1" si="40"/>
        <v>#REF!</v>
      </c>
      <c r="I892" s="159" t="e">
        <f t="shared" ca="1" si="41"/>
        <v>#REF!</v>
      </c>
    </row>
    <row r="893" spans="1:9" hidden="1" x14ac:dyDescent="0.25">
      <c r="A893" s="102" t="s">
        <v>1606</v>
      </c>
      <c r="B893" s="103" t="s">
        <v>4081</v>
      </c>
      <c r="C893" s="104" t="s">
        <v>32</v>
      </c>
      <c r="D893" s="104">
        <v>0</v>
      </c>
      <c r="E893" s="158">
        <f ca="1">OFFSET(INDEX(Composições!A:J,MATCH(Orçamentária!A893,Composições!A:A,0),10),2,0)</f>
        <v>17.850499999999997</v>
      </c>
      <c r="F893" s="159">
        <f t="shared" ca="1" si="39"/>
        <v>0</v>
      </c>
      <c r="G893" s="160" t="e">
        <f>IF(A893&lt;&gt;"",IF(AND(#REF!="Padrão",$H$4=#REF!),BDI!$B$17,IF(AND(#REF!="Padrão",$H$4=#REF!),BDI!$C$17,IF(AND(#REF!="Diferenciado",$H$4=#REF!),BDI!$G$17,IF(AND(#REF!="Diferenciado",$H$4=#REF!),BDI!$H$17,IF(#REF!="ZERO",0))))),"")</f>
        <v>#REF!</v>
      </c>
      <c r="H893" s="161" t="e">
        <f t="shared" ca="1" si="40"/>
        <v>#REF!</v>
      </c>
      <c r="I893" s="159" t="e">
        <f t="shared" ca="1" si="41"/>
        <v>#REF!</v>
      </c>
    </row>
    <row r="894" spans="1:9" hidden="1" x14ac:dyDescent="0.25">
      <c r="A894" s="102" t="s">
        <v>1608</v>
      </c>
      <c r="B894" s="103" t="s">
        <v>4082</v>
      </c>
      <c r="C894" s="104" t="s">
        <v>32</v>
      </c>
      <c r="D894" s="104">
        <v>0</v>
      </c>
      <c r="E894" s="158">
        <f ca="1">OFFSET(INDEX(Composições!A:J,MATCH(Orçamentária!A894,Composições!A:A,0),10),2,0)</f>
        <v>1.7850499999999998</v>
      </c>
      <c r="F894" s="159">
        <f t="shared" ca="1" si="39"/>
        <v>0</v>
      </c>
      <c r="G894" s="160" t="e">
        <f>IF(A894&lt;&gt;"",IF(AND(#REF!="Padrão",$H$4=#REF!),BDI!$B$17,IF(AND(#REF!="Padrão",$H$4=#REF!),BDI!$C$17,IF(AND(#REF!="Diferenciado",$H$4=#REF!),BDI!$G$17,IF(AND(#REF!="Diferenciado",$H$4=#REF!),BDI!$H$17,IF(#REF!="ZERO",0))))),"")</f>
        <v>#REF!</v>
      </c>
      <c r="H894" s="161" t="e">
        <f t="shared" ca="1" si="40"/>
        <v>#REF!</v>
      </c>
      <c r="I894" s="159" t="e">
        <f t="shared" ca="1" si="41"/>
        <v>#REF!</v>
      </c>
    </row>
    <row r="895" spans="1:9" hidden="1" x14ac:dyDescent="0.25">
      <c r="A895" s="102" t="s">
        <v>1610</v>
      </c>
      <c r="B895" s="103" t="s">
        <v>4083</v>
      </c>
      <c r="C895" s="104" t="s">
        <v>32</v>
      </c>
      <c r="D895" s="104">
        <v>0</v>
      </c>
      <c r="E895" s="158">
        <f ca="1">OFFSET(INDEX(Composições!A:J,MATCH(Orçamentária!A895,Composições!A:A,0),10),2,0)</f>
        <v>3.5700999999999996</v>
      </c>
      <c r="F895" s="159">
        <f t="shared" ca="1" si="39"/>
        <v>0</v>
      </c>
      <c r="G895" s="160" t="e">
        <f>IF(A895&lt;&gt;"",IF(AND(#REF!="Padrão",$H$4=#REF!),BDI!$B$17,IF(AND(#REF!="Padrão",$H$4=#REF!),BDI!$C$17,IF(AND(#REF!="Diferenciado",$H$4=#REF!),BDI!$G$17,IF(AND(#REF!="Diferenciado",$H$4=#REF!),BDI!$H$17,IF(#REF!="ZERO",0))))),"")</f>
        <v>#REF!</v>
      </c>
      <c r="H895" s="161" t="e">
        <f t="shared" ca="1" si="40"/>
        <v>#REF!</v>
      </c>
      <c r="I895" s="159" t="e">
        <f t="shared" ca="1" si="41"/>
        <v>#REF!</v>
      </c>
    </row>
    <row r="896" spans="1:9" hidden="1" x14ac:dyDescent="0.25">
      <c r="A896" s="102" t="s">
        <v>1612</v>
      </c>
      <c r="B896" s="103" t="s">
        <v>4084</v>
      </c>
      <c r="C896" s="104" t="s">
        <v>32</v>
      </c>
      <c r="D896" s="104">
        <v>0</v>
      </c>
      <c r="E896" s="158">
        <f ca="1">OFFSET(INDEX(Composições!A:J,MATCH(Orçamentária!A896,Composições!A:A,0),10),2,0)</f>
        <v>3.5700999999999996</v>
      </c>
      <c r="F896" s="159">
        <f t="shared" ca="1" si="39"/>
        <v>0</v>
      </c>
      <c r="G896" s="160" t="e">
        <f>IF(A896&lt;&gt;"",IF(AND(#REF!="Padrão",$H$4=#REF!),BDI!$B$17,IF(AND(#REF!="Padrão",$H$4=#REF!),BDI!$C$17,IF(AND(#REF!="Diferenciado",$H$4=#REF!),BDI!$G$17,IF(AND(#REF!="Diferenciado",$H$4=#REF!),BDI!$H$17,IF(#REF!="ZERO",0))))),"")</f>
        <v>#REF!</v>
      </c>
      <c r="H896" s="161" t="e">
        <f t="shared" ca="1" si="40"/>
        <v>#REF!</v>
      </c>
      <c r="I896" s="159" t="e">
        <f t="shared" ca="1" si="41"/>
        <v>#REF!</v>
      </c>
    </row>
    <row r="897" spans="1:9" hidden="1" x14ac:dyDescent="0.25">
      <c r="A897" s="102" t="s">
        <v>1614</v>
      </c>
      <c r="B897" s="103" t="s">
        <v>4085</v>
      </c>
      <c r="C897" s="104" t="s">
        <v>184</v>
      </c>
      <c r="D897" s="104">
        <v>0</v>
      </c>
      <c r="E897" s="158">
        <f ca="1">OFFSET(INDEX(Composições!A:J,MATCH(Orçamentária!A897,Composições!A:A,0),10),2,0)</f>
        <v>27.792601499999996</v>
      </c>
      <c r="F897" s="159">
        <f t="shared" ca="1" si="39"/>
        <v>0</v>
      </c>
      <c r="G897" s="160" t="e">
        <f>IF(A897&lt;&gt;"",IF(AND(#REF!="Padrão",$H$4=#REF!),BDI!$B$17,IF(AND(#REF!="Padrão",$H$4=#REF!),BDI!$C$17,IF(AND(#REF!="Diferenciado",$H$4=#REF!),BDI!$G$17,IF(AND(#REF!="Diferenciado",$H$4=#REF!),BDI!$H$17,IF(#REF!="ZERO",0))))),"")</f>
        <v>#REF!</v>
      </c>
      <c r="H897" s="161" t="e">
        <f t="shared" ca="1" si="40"/>
        <v>#REF!</v>
      </c>
      <c r="I897" s="159" t="e">
        <f t="shared" ca="1" si="41"/>
        <v>#REF!</v>
      </c>
    </row>
    <row r="898" spans="1:9" hidden="1" x14ac:dyDescent="0.25">
      <c r="A898" s="102" t="s">
        <v>1616</v>
      </c>
      <c r="B898" s="103" t="s">
        <v>4086</v>
      </c>
      <c r="C898" s="104" t="s">
        <v>184</v>
      </c>
      <c r="D898" s="104">
        <v>0</v>
      </c>
      <c r="E898" s="158">
        <f ca="1">OFFSET(INDEX(Composições!A:J,MATCH(Orçamentária!A898,Composições!A:A,0),10),2,0)</f>
        <v>3.5700999999999996</v>
      </c>
      <c r="F898" s="159">
        <f t="shared" ca="1" si="39"/>
        <v>0</v>
      </c>
      <c r="G898" s="160" t="e">
        <f>IF(A898&lt;&gt;"",IF(AND(#REF!="Padrão",$H$4=#REF!),BDI!$B$17,IF(AND(#REF!="Padrão",$H$4=#REF!),BDI!$C$17,IF(AND(#REF!="Diferenciado",$H$4=#REF!),BDI!$G$17,IF(AND(#REF!="Diferenciado",$H$4=#REF!),BDI!$H$17,IF(#REF!="ZERO",0))))),"")</f>
        <v>#REF!</v>
      </c>
      <c r="H898" s="161" t="e">
        <f t="shared" ca="1" si="40"/>
        <v>#REF!</v>
      </c>
      <c r="I898" s="159" t="e">
        <f t="shared" ca="1" si="41"/>
        <v>#REF!</v>
      </c>
    </row>
    <row r="899" spans="1:9" hidden="1" x14ac:dyDescent="0.25">
      <c r="A899" s="102" t="s">
        <v>1618</v>
      </c>
      <c r="B899" s="103" t="s">
        <v>4087</v>
      </c>
      <c r="C899" s="104" t="s">
        <v>184</v>
      </c>
      <c r="D899" s="104">
        <v>0</v>
      </c>
      <c r="E899" s="158">
        <f ca="1">OFFSET(INDEX(Composições!A:J,MATCH(Orçamentária!A899,Composições!A:A,0),10),2,0)</f>
        <v>8.6098594999999989</v>
      </c>
      <c r="F899" s="159">
        <f t="shared" ca="1" si="39"/>
        <v>0</v>
      </c>
      <c r="G899" s="160" t="e">
        <f>IF(A899&lt;&gt;"",IF(AND(#REF!="Padrão",$H$4=#REF!),BDI!$B$17,IF(AND(#REF!="Padrão",$H$4=#REF!),BDI!$C$17,IF(AND(#REF!="Diferenciado",$H$4=#REF!),BDI!$G$17,IF(AND(#REF!="Diferenciado",$H$4=#REF!),BDI!$H$17,IF(#REF!="ZERO",0))))),"")</f>
        <v>#REF!</v>
      </c>
      <c r="H899" s="161" t="e">
        <f t="shared" ca="1" si="40"/>
        <v>#REF!</v>
      </c>
      <c r="I899" s="159" t="e">
        <f t="shared" ca="1" si="41"/>
        <v>#REF!</v>
      </c>
    </row>
    <row r="900" spans="1:9" hidden="1" x14ac:dyDescent="0.25">
      <c r="A900" s="102" t="s">
        <v>1621</v>
      </c>
      <c r="B900" s="103" t="s">
        <v>4088</v>
      </c>
      <c r="C900" s="104" t="s">
        <v>32</v>
      </c>
      <c r="D900" s="104">
        <v>0</v>
      </c>
      <c r="E900" s="158">
        <f ca="1">OFFSET(INDEX(Composições!A:J,MATCH(Orçamentária!A900,Composições!A:A,0),10),2,0)</f>
        <v>26.775749999999995</v>
      </c>
      <c r="F900" s="159">
        <f t="shared" ca="1" si="39"/>
        <v>0</v>
      </c>
      <c r="G900" s="160" t="e">
        <f>IF(A900&lt;&gt;"",IF(AND(#REF!="Padrão",$H$4=#REF!),BDI!$B$17,IF(AND(#REF!="Padrão",$H$4=#REF!),BDI!$C$17,IF(AND(#REF!="Diferenciado",$H$4=#REF!),BDI!$G$17,IF(AND(#REF!="Diferenciado",$H$4=#REF!),BDI!$H$17,IF(#REF!="ZERO",0))))),"")</f>
        <v>#REF!</v>
      </c>
      <c r="H900" s="161" t="e">
        <f t="shared" ca="1" si="40"/>
        <v>#REF!</v>
      </c>
      <c r="I900" s="159" t="e">
        <f t="shared" ca="1" si="41"/>
        <v>#REF!</v>
      </c>
    </row>
    <row r="901" spans="1:9" hidden="1" x14ac:dyDescent="0.25">
      <c r="A901" s="102" t="s">
        <v>1622</v>
      </c>
      <c r="B901" s="103" t="s">
        <v>4089</v>
      </c>
      <c r="C901" s="104" t="s">
        <v>189</v>
      </c>
      <c r="D901" s="104">
        <v>0</v>
      </c>
      <c r="E901" s="158">
        <f ca="1">OFFSET(INDEX(Composições!A:J,MATCH(Orçamentária!A901,Composições!A:A,0),10),2,0)</f>
        <v>25.749749999999999</v>
      </c>
      <c r="F901" s="159">
        <f t="shared" ca="1" si="39"/>
        <v>0</v>
      </c>
      <c r="G901" s="160" t="e">
        <f>IF(A901&lt;&gt;"",IF(AND(#REF!="Padrão",$H$4=#REF!),BDI!$B$17,IF(AND(#REF!="Padrão",$H$4=#REF!),BDI!$C$17,IF(AND(#REF!="Diferenciado",$H$4=#REF!),BDI!$G$17,IF(AND(#REF!="Diferenciado",$H$4=#REF!),BDI!$H$17,IF(#REF!="ZERO",0))))),"")</f>
        <v>#REF!</v>
      </c>
      <c r="H901" s="161" t="e">
        <f t="shared" ca="1" si="40"/>
        <v>#REF!</v>
      </c>
      <c r="I901" s="159" t="e">
        <f t="shared" ca="1" si="41"/>
        <v>#REF!</v>
      </c>
    </row>
    <row r="902" spans="1:9" hidden="1" x14ac:dyDescent="0.25">
      <c r="A902" s="102" t="s">
        <v>1625</v>
      </c>
      <c r="B902" s="103" t="s">
        <v>4090</v>
      </c>
      <c r="C902" s="104" t="s">
        <v>32</v>
      </c>
      <c r="D902" s="104">
        <v>0</v>
      </c>
      <c r="E902" s="158">
        <f ca="1">OFFSET(INDEX(Composições!A:J,MATCH(Orçamentária!A902,Composições!A:A,0),10),2,0)</f>
        <v>7.1401999999999992</v>
      </c>
      <c r="F902" s="159">
        <f t="shared" ca="1" si="39"/>
        <v>0</v>
      </c>
      <c r="G902" s="160" t="e">
        <f>IF(A902&lt;&gt;"",IF(AND(#REF!="Padrão",$H$4=#REF!),BDI!$B$17,IF(AND(#REF!="Padrão",$H$4=#REF!),BDI!$C$17,IF(AND(#REF!="Diferenciado",$H$4=#REF!),BDI!$G$17,IF(AND(#REF!="Diferenciado",$H$4=#REF!),BDI!$H$17,IF(#REF!="ZERO",0))))),"")</f>
        <v>#REF!</v>
      </c>
      <c r="H902" s="161" t="e">
        <f t="shared" ca="1" si="40"/>
        <v>#REF!</v>
      </c>
      <c r="I902" s="159" t="e">
        <f t="shared" ca="1" si="41"/>
        <v>#REF!</v>
      </c>
    </row>
    <row r="903" spans="1:9" hidden="1" x14ac:dyDescent="0.25">
      <c r="A903" s="102" t="s">
        <v>1627</v>
      </c>
      <c r="B903" s="103" t="s">
        <v>4091</v>
      </c>
      <c r="C903" s="104" t="s">
        <v>75</v>
      </c>
      <c r="D903" s="104">
        <v>0</v>
      </c>
      <c r="E903" s="158">
        <f ca="1">OFFSET(INDEX(Composições!A:J,MATCH(Orçamentária!A903,Composições!A:A,0),10),2,0)</f>
        <v>9.7407813000000001</v>
      </c>
      <c r="F903" s="159">
        <f t="shared" ref="F903:F966" ca="1" si="42">IF(ISNUMBER(E903),D903*E903,"")</f>
        <v>0</v>
      </c>
      <c r="G903" s="160" t="e">
        <f>IF(A903&lt;&gt;"",IF(AND(#REF!="Padrão",$H$4=#REF!),BDI!$B$17,IF(AND(#REF!="Padrão",$H$4=#REF!),BDI!$C$17,IF(AND(#REF!="Diferenciado",$H$4=#REF!),BDI!$G$17,IF(AND(#REF!="Diferenciado",$H$4=#REF!),BDI!$H$17,IF(#REF!="ZERO",0))))),"")</f>
        <v>#REF!</v>
      </c>
      <c r="H903" s="161" t="e">
        <f t="shared" ref="H903:H966" ca="1" si="43">IF(ISNUMBER(E903),ROUND(E903*(1+G903),2),"")</f>
        <v>#REF!</v>
      </c>
      <c r="I903" s="159" t="e">
        <f t="shared" ref="I903:I966" ca="1" si="44">IF(ISNUMBER(E903),ROUND(H903*D903,2),"")</f>
        <v>#REF!</v>
      </c>
    </row>
    <row r="904" spans="1:9" hidden="1" x14ac:dyDescent="0.25">
      <c r="A904" s="102" t="s">
        <v>1638</v>
      </c>
      <c r="B904" s="103" t="s">
        <v>4092</v>
      </c>
      <c r="C904" s="104" t="s">
        <v>32</v>
      </c>
      <c r="D904" s="104">
        <v>0</v>
      </c>
      <c r="E904" s="158">
        <f ca="1">OFFSET(INDEX(Composições!A:J,MATCH(Orçamentária!A904,Composições!A:A,0),10),2,0)</f>
        <v>3.5700999999999996</v>
      </c>
      <c r="F904" s="159">
        <f t="shared" ca="1" si="42"/>
        <v>0</v>
      </c>
      <c r="G904" s="160" t="e">
        <f>IF(A904&lt;&gt;"",IF(AND(#REF!="Padrão",$H$4=#REF!),BDI!$B$17,IF(AND(#REF!="Padrão",$H$4=#REF!),BDI!$C$17,IF(AND(#REF!="Diferenciado",$H$4=#REF!),BDI!$G$17,IF(AND(#REF!="Diferenciado",$H$4=#REF!),BDI!$H$17,IF(#REF!="ZERO",0))))),"")</f>
        <v>#REF!</v>
      </c>
      <c r="H904" s="161" t="e">
        <f t="shared" ca="1" si="43"/>
        <v>#REF!</v>
      </c>
      <c r="I904" s="159" t="e">
        <f t="shared" ca="1" si="44"/>
        <v>#REF!</v>
      </c>
    </row>
    <row r="905" spans="1:9" hidden="1" x14ac:dyDescent="0.25">
      <c r="A905" s="102" t="s">
        <v>1640</v>
      </c>
      <c r="B905" s="103" t="s">
        <v>4093</v>
      </c>
      <c r="C905" s="104" t="s">
        <v>32</v>
      </c>
      <c r="D905" s="104">
        <v>0</v>
      </c>
      <c r="E905" s="158">
        <f ca="1">OFFSET(INDEX(Composições!A:J,MATCH(Orçamentária!A905,Composições!A:A,0),10),2,0)</f>
        <v>5.3551499999999992</v>
      </c>
      <c r="F905" s="159">
        <f t="shared" ca="1" si="42"/>
        <v>0</v>
      </c>
      <c r="G905" s="160" t="e">
        <f>IF(A905&lt;&gt;"",IF(AND(#REF!="Padrão",$H$4=#REF!),BDI!$B$17,IF(AND(#REF!="Padrão",$H$4=#REF!),BDI!$C$17,IF(AND(#REF!="Diferenciado",$H$4=#REF!),BDI!$G$17,IF(AND(#REF!="Diferenciado",$H$4=#REF!),BDI!$H$17,IF(#REF!="ZERO",0))))),"")</f>
        <v>#REF!</v>
      </c>
      <c r="H905" s="161" t="e">
        <f t="shared" ca="1" si="43"/>
        <v>#REF!</v>
      </c>
      <c r="I905" s="159" t="e">
        <f t="shared" ca="1" si="44"/>
        <v>#REF!</v>
      </c>
    </row>
    <row r="906" spans="1:9" hidden="1" x14ac:dyDescent="0.25">
      <c r="A906" s="102" t="s">
        <v>1642</v>
      </c>
      <c r="B906" s="103" t="s">
        <v>4094</v>
      </c>
      <c r="C906" s="104" t="s">
        <v>32</v>
      </c>
      <c r="D906" s="104">
        <v>0</v>
      </c>
      <c r="E906" s="158">
        <f ca="1">OFFSET(INDEX(Composições!A:J,MATCH(Orçamentária!A906,Composições!A:A,0),10),2,0)</f>
        <v>5.3551499999999992</v>
      </c>
      <c r="F906" s="159">
        <f t="shared" ca="1" si="42"/>
        <v>0</v>
      </c>
      <c r="G906" s="160" t="e">
        <f>IF(A906&lt;&gt;"",IF(AND(#REF!="Padrão",$H$4=#REF!),BDI!$B$17,IF(AND(#REF!="Padrão",$H$4=#REF!),BDI!$C$17,IF(AND(#REF!="Diferenciado",$H$4=#REF!),BDI!$G$17,IF(AND(#REF!="Diferenciado",$H$4=#REF!),BDI!$H$17,IF(#REF!="ZERO",0))))),"")</f>
        <v>#REF!</v>
      </c>
      <c r="H906" s="161" t="e">
        <f t="shared" ca="1" si="43"/>
        <v>#REF!</v>
      </c>
      <c r="I906" s="159" t="e">
        <f t="shared" ca="1" si="44"/>
        <v>#REF!</v>
      </c>
    </row>
    <row r="907" spans="1:9" hidden="1" x14ac:dyDescent="0.25">
      <c r="A907" s="102" t="s">
        <v>1644</v>
      </c>
      <c r="B907" s="103" t="s">
        <v>4095</v>
      </c>
      <c r="C907" s="104" t="s">
        <v>32</v>
      </c>
      <c r="D907" s="104">
        <v>0</v>
      </c>
      <c r="E907" s="158">
        <f ca="1">OFFSET(INDEX(Composições!A:J,MATCH(Orçamentária!A907,Composições!A:A,0),10),2,0)</f>
        <v>5.3551499999999992</v>
      </c>
      <c r="F907" s="159">
        <f t="shared" ca="1" si="42"/>
        <v>0</v>
      </c>
      <c r="G907" s="160" t="e">
        <f>IF(A907&lt;&gt;"",IF(AND(#REF!="Padrão",$H$4=#REF!),BDI!$B$17,IF(AND(#REF!="Padrão",$H$4=#REF!),BDI!$C$17,IF(AND(#REF!="Diferenciado",$H$4=#REF!),BDI!$G$17,IF(AND(#REF!="Diferenciado",$H$4=#REF!),BDI!$H$17,IF(#REF!="ZERO",0))))),"")</f>
        <v>#REF!</v>
      </c>
      <c r="H907" s="161" t="e">
        <f t="shared" ca="1" si="43"/>
        <v>#REF!</v>
      </c>
      <c r="I907" s="159" t="e">
        <f t="shared" ca="1" si="44"/>
        <v>#REF!</v>
      </c>
    </row>
    <row r="908" spans="1:9" hidden="1" x14ac:dyDescent="0.25">
      <c r="A908" s="102" t="s">
        <v>1646</v>
      </c>
      <c r="B908" s="103" t="s">
        <v>4096</v>
      </c>
      <c r="C908" s="104" t="s">
        <v>32</v>
      </c>
      <c r="D908" s="104">
        <v>0</v>
      </c>
      <c r="E908" s="158">
        <f ca="1">OFFSET(INDEX(Composições!A:J,MATCH(Orçamentária!A908,Composições!A:A,0),10),2,0)</f>
        <v>2.6775749999999996</v>
      </c>
      <c r="F908" s="159">
        <f t="shared" ca="1" si="42"/>
        <v>0</v>
      </c>
      <c r="G908" s="160" t="e">
        <f>IF(A908&lt;&gt;"",IF(AND(#REF!="Padrão",$H$4=#REF!),BDI!$B$17,IF(AND(#REF!="Padrão",$H$4=#REF!),BDI!$C$17,IF(AND(#REF!="Diferenciado",$H$4=#REF!),BDI!$G$17,IF(AND(#REF!="Diferenciado",$H$4=#REF!),BDI!$H$17,IF(#REF!="ZERO",0))))),"")</f>
        <v>#REF!</v>
      </c>
      <c r="H908" s="161" t="e">
        <f t="shared" ca="1" si="43"/>
        <v>#REF!</v>
      </c>
      <c r="I908" s="159" t="e">
        <f t="shared" ca="1" si="44"/>
        <v>#REF!</v>
      </c>
    </row>
    <row r="909" spans="1:9" hidden="1" x14ac:dyDescent="0.25">
      <c r="A909" s="102" t="s">
        <v>1648</v>
      </c>
      <c r="B909" s="103" t="s">
        <v>4097</v>
      </c>
      <c r="C909" s="104" t="s">
        <v>32</v>
      </c>
      <c r="D909" s="104">
        <v>0</v>
      </c>
      <c r="E909" s="158">
        <f ca="1">OFFSET(INDEX(Composições!A:J,MATCH(Orçamentária!A909,Composições!A:A,0),10),2,0)</f>
        <v>2.6775749999999996</v>
      </c>
      <c r="F909" s="159">
        <f t="shared" ca="1" si="42"/>
        <v>0</v>
      </c>
      <c r="G909" s="160" t="e">
        <f>IF(A909&lt;&gt;"",IF(AND(#REF!="Padrão",$H$4=#REF!),BDI!$B$17,IF(AND(#REF!="Padrão",$H$4=#REF!),BDI!$C$17,IF(AND(#REF!="Diferenciado",$H$4=#REF!),BDI!$G$17,IF(AND(#REF!="Diferenciado",$H$4=#REF!),BDI!$H$17,IF(#REF!="ZERO",0))))),"")</f>
        <v>#REF!</v>
      </c>
      <c r="H909" s="161" t="e">
        <f t="shared" ca="1" si="43"/>
        <v>#REF!</v>
      </c>
      <c r="I909" s="159" t="e">
        <f t="shared" ca="1" si="44"/>
        <v>#REF!</v>
      </c>
    </row>
    <row r="910" spans="1:9" hidden="1" x14ac:dyDescent="0.25">
      <c r="A910" s="102" t="s">
        <v>1650</v>
      </c>
      <c r="B910" s="103" t="s">
        <v>4098</v>
      </c>
      <c r="C910" s="104" t="s">
        <v>32</v>
      </c>
      <c r="D910" s="104">
        <v>0</v>
      </c>
      <c r="E910" s="158">
        <f ca="1">OFFSET(INDEX(Composições!A:J,MATCH(Orçamentária!A910,Composições!A:A,0),10),2,0)</f>
        <v>2.6775749999999996</v>
      </c>
      <c r="F910" s="159">
        <f t="shared" ca="1" si="42"/>
        <v>0</v>
      </c>
      <c r="G910" s="160" t="e">
        <f>IF(A910&lt;&gt;"",IF(AND(#REF!="Padrão",$H$4=#REF!),BDI!$B$17,IF(AND(#REF!="Padrão",$H$4=#REF!),BDI!$C$17,IF(AND(#REF!="Diferenciado",$H$4=#REF!),BDI!$G$17,IF(AND(#REF!="Diferenciado",$H$4=#REF!),BDI!$H$17,IF(#REF!="ZERO",0))))),"")</f>
        <v>#REF!</v>
      </c>
      <c r="H910" s="161" t="e">
        <f t="shared" ca="1" si="43"/>
        <v>#REF!</v>
      </c>
      <c r="I910" s="159" t="e">
        <f t="shared" ca="1" si="44"/>
        <v>#REF!</v>
      </c>
    </row>
    <row r="911" spans="1:9" hidden="1" x14ac:dyDescent="0.25">
      <c r="A911" s="102" t="s">
        <v>1652</v>
      </c>
      <c r="B911" s="103" t="s">
        <v>4099</v>
      </c>
      <c r="C911" s="104" t="s">
        <v>32</v>
      </c>
      <c r="D911" s="104">
        <v>0</v>
      </c>
      <c r="E911" s="158">
        <f ca="1">OFFSET(INDEX(Composições!A:J,MATCH(Orçamentária!A911,Composições!A:A,0),10),2,0)</f>
        <v>2.6775749999999996</v>
      </c>
      <c r="F911" s="159">
        <f t="shared" ca="1" si="42"/>
        <v>0</v>
      </c>
      <c r="G911" s="160" t="e">
        <f>IF(A911&lt;&gt;"",IF(AND(#REF!="Padrão",$H$4=#REF!),BDI!$B$17,IF(AND(#REF!="Padrão",$H$4=#REF!),BDI!$C$17,IF(AND(#REF!="Diferenciado",$H$4=#REF!),BDI!$G$17,IF(AND(#REF!="Diferenciado",$H$4=#REF!),BDI!$H$17,IF(#REF!="ZERO",0))))),"")</f>
        <v>#REF!</v>
      </c>
      <c r="H911" s="161" t="e">
        <f t="shared" ca="1" si="43"/>
        <v>#REF!</v>
      </c>
      <c r="I911" s="159" t="e">
        <f t="shared" ca="1" si="44"/>
        <v>#REF!</v>
      </c>
    </row>
    <row r="912" spans="1:9" hidden="1" x14ac:dyDescent="0.25">
      <c r="A912" s="102" t="s">
        <v>1654</v>
      </c>
      <c r="B912" s="103" t="s">
        <v>4100</v>
      </c>
      <c r="C912" s="104" t="s">
        <v>32</v>
      </c>
      <c r="D912" s="104">
        <v>0</v>
      </c>
      <c r="E912" s="158">
        <f ca="1">OFFSET(INDEX(Composições!A:J,MATCH(Orçamentária!A912,Composições!A:A,0),10),2,0)</f>
        <v>7.1401999999999992</v>
      </c>
      <c r="F912" s="159">
        <f t="shared" ca="1" si="42"/>
        <v>0</v>
      </c>
      <c r="G912" s="160" t="e">
        <f>IF(A912&lt;&gt;"",IF(AND(#REF!="Padrão",$H$4=#REF!),BDI!$B$17,IF(AND(#REF!="Padrão",$H$4=#REF!),BDI!$C$17,IF(AND(#REF!="Diferenciado",$H$4=#REF!),BDI!$G$17,IF(AND(#REF!="Diferenciado",$H$4=#REF!),BDI!$H$17,IF(#REF!="ZERO",0))))),"")</f>
        <v>#REF!</v>
      </c>
      <c r="H912" s="161" t="e">
        <f t="shared" ca="1" si="43"/>
        <v>#REF!</v>
      </c>
      <c r="I912" s="159" t="e">
        <f t="shared" ca="1" si="44"/>
        <v>#REF!</v>
      </c>
    </row>
    <row r="913" spans="1:9" hidden="1" x14ac:dyDescent="0.25">
      <c r="A913" s="102" t="s">
        <v>1656</v>
      </c>
      <c r="B913" s="103" t="s">
        <v>4101</v>
      </c>
      <c r="C913" s="104" t="s">
        <v>4102</v>
      </c>
      <c r="D913" s="104">
        <v>0</v>
      </c>
      <c r="E913" s="158">
        <f ca="1">OFFSET(INDEX(Composições!A:J,MATCH(Orçamentária!A913,Composições!A:A,0),10),2,0)</f>
        <v>41.846245999999994</v>
      </c>
      <c r="F913" s="159">
        <f t="shared" ca="1" si="42"/>
        <v>0</v>
      </c>
      <c r="G913" s="160" t="e">
        <f>IF(A913&lt;&gt;"",IF(AND(#REF!="Padrão",$H$4=#REF!),BDI!$B$17,IF(AND(#REF!="Padrão",$H$4=#REF!),BDI!$C$17,IF(AND(#REF!="Diferenciado",$H$4=#REF!),BDI!$G$17,IF(AND(#REF!="Diferenciado",$H$4=#REF!),BDI!$H$17,IF(#REF!="ZERO",0))))),"")</f>
        <v>#REF!</v>
      </c>
      <c r="H913" s="161" t="e">
        <f t="shared" ca="1" si="43"/>
        <v>#REF!</v>
      </c>
      <c r="I913" s="159" t="e">
        <f t="shared" ca="1" si="44"/>
        <v>#REF!</v>
      </c>
    </row>
    <row r="914" spans="1:9" hidden="1" x14ac:dyDescent="0.25">
      <c r="A914" s="102" t="s">
        <v>1658</v>
      </c>
      <c r="B914" s="103" t="s">
        <v>4103</v>
      </c>
      <c r="C914" s="104" t="s">
        <v>189</v>
      </c>
      <c r="D914" s="104">
        <v>0</v>
      </c>
      <c r="E914" s="158">
        <f ca="1">OFFSET(INDEX(Composições!A:J,MATCH(Orçamentária!A914,Composições!A:A,0),10),2,0)</f>
        <v>108.57692499999999</v>
      </c>
      <c r="F914" s="159">
        <f t="shared" ca="1" si="42"/>
        <v>0</v>
      </c>
      <c r="G914" s="160" t="e">
        <f>IF(A914&lt;&gt;"",IF(AND(#REF!="Padrão",$H$4=#REF!),BDI!$B$17,IF(AND(#REF!="Padrão",$H$4=#REF!),BDI!$C$17,IF(AND(#REF!="Diferenciado",$H$4=#REF!),BDI!$G$17,IF(AND(#REF!="Diferenciado",$H$4=#REF!),BDI!$H$17,IF(#REF!="ZERO",0))))),"")</f>
        <v>#REF!</v>
      </c>
      <c r="H914" s="161" t="e">
        <f t="shared" ca="1" si="43"/>
        <v>#REF!</v>
      </c>
      <c r="I914" s="159" t="e">
        <f t="shared" ca="1" si="44"/>
        <v>#REF!</v>
      </c>
    </row>
    <row r="915" spans="1:9" hidden="1" x14ac:dyDescent="0.25">
      <c r="A915" s="102" t="s">
        <v>1662</v>
      </c>
      <c r="B915" s="103" t="s">
        <v>4104</v>
      </c>
      <c r="C915" s="104" t="s">
        <v>189</v>
      </c>
      <c r="D915" s="104">
        <v>0</v>
      </c>
      <c r="E915" s="158">
        <f ca="1">OFFSET(INDEX(Composições!A:J,MATCH(Orçamentária!A915,Composições!A:A,0),10),2,0)</f>
        <v>179.4417</v>
      </c>
      <c r="F915" s="159">
        <f t="shared" ca="1" si="42"/>
        <v>0</v>
      </c>
      <c r="G915" s="160" t="e">
        <f>IF(A915&lt;&gt;"",IF(AND(#REF!="Padrão",$H$4=#REF!),BDI!$B$17,IF(AND(#REF!="Padrão",$H$4=#REF!),BDI!$C$17,IF(AND(#REF!="Diferenciado",$H$4=#REF!),BDI!$G$17,IF(AND(#REF!="Diferenciado",$H$4=#REF!),BDI!$H$17,IF(#REF!="ZERO",0))))),"")</f>
        <v>#REF!</v>
      </c>
      <c r="H915" s="161" t="e">
        <f t="shared" ca="1" si="43"/>
        <v>#REF!</v>
      </c>
      <c r="I915" s="159" t="e">
        <f t="shared" ca="1" si="44"/>
        <v>#REF!</v>
      </c>
    </row>
    <row r="916" spans="1:9" hidden="1" x14ac:dyDescent="0.25">
      <c r="A916" s="102" t="s">
        <v>1666</v>
      </c>
      <c r="B916" s="103" t="s">
        <v>4105</v>
      </c>
      <c r="C916" s="104" t="s">
        <v>184</v>
      </c>
      <c r="D916" s="104">
        <v>0</v>
      </c>
      <c r="E916" s="158">
        <f ca="1">OFFSET(INDEX(Composições!A:J,MATCH(Orçamentária!A916,Composições!A:A,0),10),2,0)</f>
        <v>21.696771649999995</v>
      </c>
      <c r="F916" s="159">
        <f t="shared" ca="1" si="42"/>
        <v>0</v>
      </c>
      <c r="G916" s="160" t="e">
        <f>IF(A916&lt;&gt;"",IF(AND(#REF!="Padrão",$H$4=#REF!),BDI!$B$17,IF(AND(#REF!="Padrão",$H$4=#REF!),BDI!$C$17,IF(AND(#REF!="Diferenciado",$H$4=#REF!),BDI!$G$17,IF(AND(#REF!="Diferenciado",$H$4=#REF!),BDI!$H$17,IF(#REF!="ZERO",0))))),"")</f>
        <v>#REF!</v>
      </c>
      <c r="H916" s="161" t="e">
        <f t="shared" ca="1" si="43"/>
        <v>#REF!</v>
      </c>
      <c r="I916" s="159" t="e">
        <f t="shared" ca="1" si="44"/>
        <v>#REF!</v>
      </c>
    </row>
    <row r="917" spans="1:9" hidden="1" x14ac:dyDescent="0.25">
      <c r="A917" s="102" t="s">
        <v>1667</v>
      </c>
      <c r="B917" s="103" t="s">
        <v>4106</v>
      </c>
      <c r="C917" s="104" t="s">
        <v>189</v>
      </c>
      <c r="D917" s="104">
        <v>0</v>
      </c>
      <c r="E917" s="158">
        <f ca="1">OFFSET(INDEX(Composições!A:J,MATCH(Orçamentária!A917,Composições!A:A,0),10),2,0)</f>
        <v>55.453399999999995</v>
      </c>
      <c r="F917" s="159">
        <f t="shared" ca="1" si="42"/>
        <v>0</v>
      </c>
      <c r="G917" s="160" t="e">
        <f>IF(A917&lt;&gt;"",IF(AND(#REF!="Padrão",$H$4=#REF!),BDI!$B$17,IF(AND(#REF!="Padrão",$H$4=#REF!),BDI!$C$17,IF(AND(#REF!="Diferenciado",$H$4=#REF!),BDI!$G$17,IF(AND(#REF!="Diferenciado",$H$4=#REF!),BDI!$H$17,IF(#REF!="ZERO",0))))),"")</f>
        <v>#REF!</v>
      </c>
      <c r="H917" s="161" t="e">
        <f t="shared" ca="1" si="43"/>
        <v>#REF!</v>
      </c>
      <c r="I917" s="159" t="e">
        <f t="shared" ca="1" si="44"/>
        <v>#REF!</v>
      </c>
    </row>
    <row r="918" spans="1:9" hidden="1" x14ac:dyDescent="0.25">
      <c r="A918" s="102" t="s">
        <v>1669</v>
      </c>
      <c r="B918" s="103" t="s">
        <v>1670</v>
      </c>
      <c r="C918" s="104" t="s">
        <v>189</v>
      </c>
      <c r="D918" s="104">
        <v>0</v>
      </c>
      <c r="E918" s="158">
        <f ca="1">OFFSET(INDEX(Composições!A:J,MATCH(Orçamentária!A918,Composições!A:A,0),10),2,0)</f>
        <v>55.453399999999988</v>
      </c>
      <c r="F918" s="159">
        <f t="shared" ca="1" si="42"/>
        <v>0</v>
      </c>
      <c r="G918" s="160" t="e">
        <f>IF(A918&lt;&gt;"",IF(AND(#REF!="Padrão",$H$4=#REF!),BDI!$B$17,IF(AND(#REF!="Padrão",$H$4=#REF!),BDI!$C$17,IF(AND(#REF!="Diferenciado",$H$4=#REF!),BDI!$G$17,IF(AND(#REF!="Diferenciado",$H$4=#REF!),BDI!$H$17,IF(#REF!="ZERO",0))))),"")</f>
        <v>#REF!</v>
      </c>
      <c r="H918" s="161" t="e">
        <f t="shared" ca="1" si="43"/>
        <v>#REF!</v>
      </c>
      <c r="I918" s="159" t="e">
        <f t="shared" ca="1" si="44"/>
        <v>#REF!</v>
      </c>
    </row>
    <row r="919" spans="1:9" hidden="1" x14ac:dyDescent="0.25">
      <c r="A919" s="102" t="s">
        <v>1671</v>
      </c>
      <c r="B919" s="103" t="s">
        <v>4107</v>
      </c>
      <c r="C919" s="104" t="s">
        <v>32</v>
      </c>
      <c r="D919" s="104">
        <v>0</v>
      </c>
      <c r="E919" s="158">
        <f ca="1">OFFSET(INDEX(Composições!A:J,MATCH(Orçamentária!A919,Composições!A:A,0),10),2,0)</f>
        <v>5.2905499999999996</v>
      </c>
      <c r="F919" s="159">
        <f t="shared" ca="1" si="42"/>
        <v>0</v>
      </c>
      <c r="G919" s="160" t="e">
        <f>IF(A919&lt;&gt;"",IF(AND(#REF!="Padrão",$H$4=#REF!),BDI!$B$17,IF(AND(#REF!="Padrão",$H$4=#REF!),BDI!$C$17,IF(AND(#REF!="Diferenciado",$H$4=#REF!),BDI!$G$17,IF(AND(#REF!="Diferenciado",$H$4=#REF!),BDI!$H$17,IF(#REF!="ZERO",0))))),"")</f>
        <v>#REF!</v>
      </c>
      <c r="H919" s="161" t="e">
        <f t="shared" ca="1" si="43"/>
        <v>#REF!</v>
      </c>
      <c r="I919" s="159" t="e">
        <f t="shared" ca="1" si="44"/>
        <v>#REF!</v>
      </c>
    </row>
    <row r="920" spans="1:9" hidden="1" x14ac:dyDescent="0.25">
      <c r="A920" s="102" t="s">
        <v>1672</v>
      </c>
      <c r="B920" s="103" t="s">
        <v>4108</v>
      </c>
      <c r="C920" s="104" t="s">
        <v>228</v>
      </c>
      <c r="D920" s="104">
        <v>0</v>
      </c>
      <c r="E920" s="158">
        <f ca="1">OFFSET(INDEX(Composições!A:J,MATCH(Orçamentária!A920,Composições!A:A,0),10),2,0)</f>
        <v>2133.5142160999999</v>
      </c>
      <c r="F920" s="159">
        <f t="shared" ca="1" si="42"/>
        <v>0</v>
      </c>
      <c r="G920" s="160" t="e">
        <f>IF(A920&lt;&gt;"",IF(AND(#REF!="Padrão",$H$4=#REF!),BDI!$B$17,IF(AND(#REF!="Padrão",$H$4=#REF!),BDI!$C$17,IF(AND(#REF!="Diferenciado",$H$4=#REF!),BDI!$G$17,IF(AND(#REF!="Diferenciado",$H$4=#REF!),BDI!$H$17,IF(#REF!="ZERO",0))))),"")</f>
        <v>#REF!</v>
      </c>
      <c r="H920" s="161" t="e">
        <f t="shared" ca="1" si="43"/>
        <v>#REF!</v>
      </c>
      <c r="I920" s="159" t="e">
        <f t="shared" ca="1" si="44"/>
        <v>#REF!</v>
      </c>
    </row>
    <row r="921" spans="1:9" hidden="1" x14ac:dyDescent="0.25">
      <c r="A921" s="102" t="s">
        <v>1677</v>
      </c>
      <c r="B921" s="103" t="s">
        <v>4109</v>
      </c>
      <c r="C921" s="104" t="s">
        <v>75</v>
      </c>
      <c r="D921" s="104">
        <v>0</v>
      </c>
      <c r="E921" s="158">
        <f ca="1">OFFSET(INDEX(Composições!A:J,MATCH(Orçamentária!A921,Composições!A:A,0),10),2,0)</f>
        <v>7.0030637000000002</v>
      </c>
      <c r="F921" s="159">
        <f t="shared" ca="1" si="42"/>
        <v>0</v>
      </c>
      <c r="G921" s="160" t="e">
        <f>IF(A921&lt;&gt;"",IF(AND(#REF!="Padrão",$H$4=#REF!),BDI!$B$17,IF(AND(#REF!="Padrão",$H$4=#REF!),BDI!$C$17,IF(AND(#REF!="Diferenciado",$H$4=#REF!),BDI!$G$17,IF(AND(#REF!="Diferenciado",$H$4=#REF!),BDI!$H$17,IF(#REF!="ZERO",0))))),"")</f>
        <v>#REF!</v>
      </c>
      <c r="H921" s="161" t="e">
        <f t="shared" ca="1" si="43"/>
        <v>#REF!</v>
      </c>
      <c r="I921" s="159" t="e">
        <f t="shared" ca="1" si="44"/>
        <v>#REF!</v>
      </c>
    </row>
    <row r="922" spans="1:9" hidden="1" x14ac:dyDescent="0.25">
      <c r="A922" s="102" t="s">
        <v>1681</v>
      </c>
      <c r="B922" s="103" t="s">
        <v>4110</v>
      </c>
      <c r="C922" s="104" t="s">
        <v>75</v>
      </c>
      <c r="D922" s="104">
        <v>0</v>
      </c>
      <c r="E922" s="158">
        <f ca="1">OFFSET(INDEX(Composições!A:J,MATCH(Orçamentária!A922,Composições!A:A,0),10),2,0)</f>
        <v>6.9466412999999987</v>
      </c>
      <c r="F922" s="159">
        <f t="shared" ca="1" si="42"/>
        <v>0</v>
      </c>
      <c r="G922" s="160" t="e">
        <f>IF(A922&lt;&gt;"",IF(AND(#REF!="Padrão",$H$4=#REF!),BDI!$B$17,IF(AND(#REF!="Padrão",$H$4=#REF!),BDI!$C$17,IF(AND(#REF!="Diferenciado",$H$4=#REF!),BDI!$G$17,IF(AND(#REF!="Diferenciado",$H$4=#REF!),BDI!$H$17,IF(#REF!="ZERO",0))))),"")</f>
        <v>#REF!</v>
      </c>
      <c r="H922" s="161" t="e">
        <f t="shared" ca="1" si="43"/>
        <v>#REF!</v>
      </c>
      <c r="I922" s="159" t="e">
        <f t="shared" ca="1" si="44"/>
        <v>#REF!</v>
      </c>
    </row>
    <row r="923" spans="1:9" hidden="1" x14ac:dyDescent="0.25">
      <c r="A923" s="102" t="s">
        <v>1685</v>
      </c>
      <c r="B923" s="103" t="s">
        <v>4111</v>
      </c>
      <c r="C923" s="104" t="s">
        <v>32</v>
      </c>
      <c r="D923" s="104">
        <v>0</v>
      </c>
      <c r="E923" s="158">
        <f ca="1">OFFSET(INDEX(Composições!A:J,MATCH(Orçamentária!A923,Composições!A:A,0),10),2,0)</f>
        <v>17.697074999999998</v>
      </c>
      <c r="F923" s="159">
        <f t="shared" ca="1" si="42"/>
        <v>0</v>
      </c>
      <c r="G923" s="160" t="e">
        <f>IF(A923&lt;&gt;"",IF(AND(#REF!="Padrão",$H$4=#REF!),BDI!$B$17,IF(AND(#REF!="Padrão",$H$4=#REF!),BDI!$C$17,IF(AND(#REF!="Diferenciado",$H$4=#REF!),BDI!$G$17,IF(AND(#REF!="Diferenciado",$H$4=#REF!),BDI!$H$17,IF(#REF!="ZERO",0))))),"")</f>
        <v>#REF!</v>
      </c>
      <c r="H923" s="161" t="e">
        <f t="shared" ca="1" si="43"/>
        <v>#REF!</v>
      </c>
      <c r="I923" s="159" t="e">
        <f t="shared" ca="1" si="44"/>
        <v>#REF!</v>
      </c>
    </row>
    <row r="924" spans="1:9" hidden="1" x14ac:dyDescent="0.25">
      <c r="A924" s="102" t="s">
        <v>1686</v>
      </c>
      <c r="B924" s="103" t="s">
        <v>4112</v>
      </c>
      <c r="C924" s="104" t="s">
        <v>228</v>
      </c>
      <c r="D924" s="104">
        <v>0</v>
      </c>
      <c r="E924" s="158">
        <f ca="1">OFFSET(INDEX(Composições!A:J,MATCH(Orçamentária!A924,Composições!A:A,0),10),2,0)</f>
        <v>56.673655999999994</v>
      </c>
      <c r="F924" s="159">
        <f t="shared" ca="1" si="42"/>
        <v>0</v>
      </c>
      <c r="G924" s="160" t="e">
        <f>IF(A924&lt;&gt;"",IF(AND(#REF!="Padrão",$H$4=#REF!),BDI!$B$17,IF(AND(#REF!="Padrão",$H$4=#REF!),BDI!$C$17,IF(AND(#REF!="Diferenciado",$H$4=#REF!),BDI!$G$17,IF(AND(#REF!="Diferenciado",$H$4=#REF!),BDI!$H$17,IF(#REF!="ZERO",0))))),"")</f>
        <v>#REF!</v>
      </c>
      <c r="H924" s="161" t="e">
        <f t="shared" ca="1" si="43"/>
        <v>#REF!</v>
      </c>
      <c r="I924" s="159" t="e">
        <f t="shared" ca="1" si="44"/>
        <v>#REF!</v>
      </c>
    </row>
    <row r="925" spans="1:9" hidden="1" x14ac:dyDescent="0.25">
      <c r="A925" s="102" t="s">
        <v>1688</v>
      </c>
      <c r="B925" s="103" t="s">
        <v>4113</v>
      </c>
      <c r="C925" s="104" t="s">
        <v>228</v>
      </c>
      <c r="D925" s="104">
        <v>0</v>
      </c>
      <c r="E925" s="158">
        <f ca="1">OFFSET(INDEX(Composições!A:J,MATCH(Orçamentária!A925,Composições!A:A,0),10),2,0)</f>
        <v>20.185029999999998</v>
      </c>
      <c r="F925" s="159">
        <f t="shared" ca="1" si="42"/>
        <v>0</v>
      </c>
      <c r="G925" s="160" t="e">
        <f>IF(A925&lt;&gt;"",IF(AND(#REF!="Padrão",$H$4=#REF!),BDI!$B$17,IF(AND(#REF!="Padrão",$H$4=#REF!),BDI!$C$17,IF(AND(#REF!="Diferenciado",$H$4=#REF!),BDI!$G$17,IF(AND(#REF!="Diferenciado",$H$4=#REF!),BDI!$H$17,IF(#REF!="ZERO",0))))),"")</f>
        <v>#REF!</v>
      </c>
      <c r="H925" s="161" t="e">
        <f t="shared" ca="1" si="43"/>
        <v>#REF!</v>
      </c>
      <c r="I925" s="159" t="e">
        <f t="shared" ca="1" si="44"/>
        <v>#REF!</v>
      </c>
    </row>
    <row r="926" spans="1:9" hidden="1" x14ac:dyDescent="0.25">
      <c r="A926" s="102" t="s">
        <v>1698</v>
      </c>
      <c r="B926" s="103" t="s">
        <v>4114</v>
      </c>
      <c r="C926" s="104" t="s">
        <v>228</v>
      </c>
      <c r="D926" s="104">
        <v>0</v>
      </c>
      <c r="E926" s="158">
        <f ca="1">OFFSET(INDEX(Composições!A:J,MATCH(Orçamentária!A926,Composições!A:A,0),10),2,0)</f>
        <v>57.950261249999997</v>
      </c>
      <c r="F926" s="159">
        <f t="shared" ca="1" si="42"/>
        <v>0</v>
      </c>
      <c r="G926" s="160" t="e">
        <f>IF(A926&lt;&gt;"",IF(AND(#REF!="Padrão",$H$4=#REF!),BDI!$B$17,IF(AND(#REF!="Padrão",$H$4=#REF!),BDI!$C$17,IF(AND(#REF!="Diferenciado",$H$4=#REF!),BDI!$G$17,IF(AND(#REF!="Diferenciado",$H$4=#REF!),BDI!$H$17,IF(#REF!="ZERO",0))))),"")</f>
        <v>#REF!</v>
      </c>
      <c r="H926" s="161" t="e">
        <f t="shared" ca="1" si="43"/>
        <v>#REF!</v>
      </c>
      <c r="I926" s="159" t="e">
        <f t="shared" ca="1" si="44"/>
        <v>#REF!</v>
      </c>
    </row>
    <row r="927" spans="1:9" hidden="1" x14ac:dyDescent="0.25">
      <c r="A927" s="102" t="s">
        <v>1708</v>
      </c>
      <c r="B927" s="103" t="s">
        <v>4115</v>
      </c>
      <c r="C927" s="104" t="s">
        <v>184</v>
      </c>
      <c r="D927" s="104">
        <v>0</v>
      </c>
      <c r="E927" s="158">
        <f ca="1">OFFSET(INDEX(Composições!A:J,MATCH(Orçamentária!A927,Composições!A:A,0),10),2,0)</f>
        <v>37.778732649999995</v>
      </c>
      <c r="F927" s="159">
        <f t="shared" ca="1" si="42"/>
        <v>0</v>
      </c>
      <c r="G927" s="160" t="e">
        <f>IF(A927&lt;&gt;"",IF(AND(#REF!="Padrão",$H$4=#REF!),BDI!$B$17,IF(AND(#REF!="Padrão",$H$4=#REF!),BDI!$C$17,IF(AND(#REF!="Diferenciado",$H$4=#REF!),BDI!$G$17,IF(AND(#REF!="Diferenciado",$H$4=#REF!),BDI!$H$17,IF(#REF!="ZERO",0))))),"")</f>
        <v>#REF!</v>
      </c>
      <c r="H927" s="161" t="e">
        <f t="shared" ca="1" si="43"/>
        <v>#REF!</v>
      </c>
      <c r="I927" s="159" t="e">
        <f t="shared" ca="1" si="44"/>
        <v>#REF!</v>
      </c>
    </row>
    <row r="928" spans="1:9" hidden="1" x14ac:dyDescent="0.25">
      <c r="A928" s="102" t="s">
        <v>1714</v>
      </c>
      <c r="B928" s="103" t="s">
        <v>4116</v>
      </c>
      <c r="C928" s="104" t="s">
        <v>184</v>
      </c>
      <c r="D928" s="104">
        <v>0</v>
      </c>
      <c r="E928" s="158">
        <f ca="1">OFFSET(INDEX(Composições!A:J,MATCH(Orçamentária!A928,Composições!A:A,0),10),2,0)</f>
        <v>47.19090039999999</v>
      </c>
      <c r="F928" s="159">
        <f t="shared" ca="1" si="42"/>
        <v>0</v>
      </c>
      <c r="G928" s="160" t="e">
        <f>IF(A928&lt;&gt;"",IF(AND(#REF!="Padrão",$H$4=#REF!),BDI!$B$17,IF(AND(#REF!="Padrão",$H$4=#REF!),BDI!$C$17,IF(AND(#REF!="Diferenciado",$H$4=#REF!),BDI!$G$17,IF(AND(#REF!="Diferenciado",$H$4=#REF!),BDI!$H$17,IF(#REF!="ZERO",0))))),"")</f>
        <v>#REF!</v>
      </c>
      <c r="H928" s="161" t="e">
        <f t="shared" ca="1" si="43"/>
        <v>#REF!</v>
      </c>
      <c r="I928" s="159" t="e">
        <f t="shared" ca="1" si="44"/>
        <v>#REF!</v>
      </c>
    </row>
    <row r="929" spans="1:9" hidden="1" x14ac:dyDescent="0.25">
      <c r="A929" s="102" t="s">
        <v>1718</v>
      </c>
      <c r="B929" s="103" t="s">
        <v>4117</v>
      </c>
      <c r="C929" s="104" t="s">
        <v>184</v>
      </c>
      <c r="D929" s="104">
        <v>0</v>
      </c>
      <c r="E929" s="158">
        <f ca="1">OFFSET(INDEX(Composições!A:J,MATCH(Orçamentária!A929,Composições!A:A,0),10),2,0)</f>
        <v>84.564520749999971</v>
      </c>
      <c r="F929" s="159">
        <f t="shared" ca="1" si="42"/>
        <v>0</v>
      </c>
      <c r="G929" s="160" t="e">
        <f>IF(A929&lt;&gt;"",IF(AND(#REF!="Padrão",$H$4=#REF!),BDI!$B$17,IF(AND(#REF!="Padrão",$H$4=#REF!),BDI!$C$17,IF(AND(#REF!="Diferenciado",$H$4=#REF!),BDI!$G$17,IF(AND(#REF!="Diferenciado",$H$4=#REF!),BDI!$H$17,IF(#REF!="ZERO",0))))),"")</f>
        <v>#REF!</v>
      </c>
      <c r="H929" s="161" t="e">
        <f t="shared" ca="1" si="43"/>
        <v>#REF!</v>
      </c>
      <c r="I929" s="159" t="e">
        <f t="shared" ca="1" si="44"/>
        <v>#REF!</v>
      </c>
    </row>
    <row r="930" spans="1:9" hidden="1" x14ac:dyDescent="0.25">
      <c r="A930" s="102" t="s">
        <v>1722</v>
      </c>
      <c r="B930" s="103" t="s">
        <v>4118</v>
      </c>
      <c r="C930" s="104" t="s">
        <v>32</v>
      </c>
      <c r="D930" s="104">
        <v>0</v>
      </c>
      <c r="E930" s="158">
        <f ca="1">OFFSET(INDEX(Composições!A:J,MATCH(Orçamentária!A930,Composições!A:A,0),10),2,0)</f>
        <v>591.78419919999999</v>
      </c>
      <c r="F930" s="159">
        <f t="shared" ca="1" si="42"/>
        <v>0</v>
      </c>
      <c r="G930" s="160" t="e">
        <f>IF(A930&lt;&gt;"",IF(AND(#REF!="Padrão",$H$4=#REF!),BDI!$B$17,IF(AND(#REF!="Padrão",$H$4=#REF!),BDI!$C$17,IF(AND(#REF!="Diferenciado",$H$4=#REF!),BDI!$G$17,IF(AND(#REF!="Diferenciado",$H$4=#REF!),BDI!$H$17,IF(#REF!="ZERO",0))))),"")</f>
        <v>#REF!</v>
      </c>
      <c r="H930" s="161" t="e">
        <f t="shared" ca="1" si="43"/>
        <v>#REF!</v>
      </c>
      <c r="I930" s="159" t="e">
        <f t="shared" ca="1" si="44"/>
        <v>#REF!</v>
      </c>
    </row>
    <row r="931" spans="1:9" hidden="1" x14ac:dyDescent="0.25">
      <c r="A931" s="102" t="s">
        <v>1729</v>
      </c>
      <c r="B931" s="103" t="s">
        <v>4119</v>
      </c>
      <c r="C931" s="104" t="s">
        <v>32</v>
      </c>
      <c r="D931" s="104">
        <v>0</v>
      </c>
      <c r="E931" s="158">
        <f ca="1">OFFSET(INDEX(Composições!A:J,MATCH(Orçamentária!A931,Composições!A:A,0),10),2,0)</f>
        <v>1.4325999999999999</v>
      </c>
      <c r="F931" s="159">
        <f t="shared" ca="1" si="42"/>
        <v>0</v>
      </c>
      <c r="G931" s="160" t="e">
        <f>IF(A931&lt;&gt;"",IF(AND(#REF!="Padrão",$H$4=#REF!),BDI!$B$17,IF(AND(#REF!="Padrão",$H$4=#REF!),BDI!$C$17,IF(AND(#REF!="Diferenciado",$H$4=#REF!),BDI!$G$17,IF(AND(#REF!="Diferenciado",$H$4=#REF!),BDI!$H$17,IF(#REF!="ZERO",0))))),"")</f>
        <v>#REF!</v>
      </c>
      <c r="H931" s="161" t="e">
        <f t="shared" ca="1" si="43"/>
        <v>#REF!</v>
      </c>
      <c r="I931" s="159" t="e">
        <f t="shared" ca="1" si="44"/>
        <v>#REF!</v>
      </c>
    </row>
    <row r="932" spans="1:9" hidden="1" x14ac:dyDescent="0.25">
      <c r="A932" s="102" t="s">
        <v>1732</v>
      </c>
      <c r="B932" s="103" t="s">
        <v>4120</v>
      </c>
      <c r="C932" s="104" t="s">
        <v>32</v>
      </c>
      <c r="D932" s="104">
        <v>0</v>
      </c>
      <c r="E932" s="158">
        <f ca="1">OFFSET(INDEX(Composições!A:J,MATCH(Orçamentária!A932,Composições!A:A,0),10),2,0)</f>
        <v>26.647006000000005</v>
      </c>
      <c r="F932" s="159">
        <f t="shared" ca="1" si="42"/>
        <v>0</v>
      </c>
      <c r="G932" s="160" t="e">
        <f>IF(A932&lt;&gt;"",IF(AND(#REF!="Padrão",$H$4=#REF!),BDI!$B$17,IF(AND(#REF!="Padrão",$H$4=#REF!),BDI!$C$17,IF(AND(#REF!="Diferenciado",$H$4=#REF!),BDI!$G$17,IF(AND(#REF!="Diferenciado",$H$4=#REF!),BDI!$H$17,IF(#REF!="ZERO",0))))),"")</f>
        <v>#REF!</v>
      </c>
      <c r="H932" s="161" t="e">
        <f t="shared" ca="1" si="43"/>
        <v>#REF!</v>
      </c>
      <c r="I932" s="159" t="e">
        <f t="shared" ca="1" si="44"/>
        <v>#REF!</v>
      </c>
    </row>
    <row r="933" spans="1:9" hidden="1" x14ac:dyDescent="0.25">
      <c r="A933" s="102" t="s">
        <v>1736</v>
      </c>
      <c r="B933" s="103" t="s">
        <v>4121</v>
      </c>
      <c r="C933" s="104" t="s">
        <v>184</v>
      </c>
      <c r="D933" s="104">
        <v>0</v>
      </c>
      <c r="E933" s="158">
        <f ca="1">OFFSET(INDEX(Composições!A:J,MATCH(Orçamentária!A933,Composições!A:A,0),10),2,0)</f>
        <v>2.2429119999999996</v>
      </c>
      <c r="F933" s="159">
        <f t="shared" ca="1" si="42"/>
        <v>0</v>
      </c>
      <c r="G933" s="160" t="e">
        <f>IF(A933&lt;&gt;"",IF(AND(#REF!="Padrão",$H$4=#REF!),BDI!$B$17,IF(AND(#REF!="Padrão",$H$4=#REF!),BDI!$C$17,IF(AND(#REF!="Diferenciado",$H$4=#REF!),BDI!$G$17,IF(AND(#REF!="Diferenciado",$H$4=#REF!),BDI!$H$17,IF(#REF!="ZERO",0))))),"")</f>
        <v>#REF!</v>
      </c>
      <c r="H933" s="161" t="e">
        <f t="shared" ca="1" si="43"/>
        <v>#REF!</v>
      </c>
      <c r="I933" s="159" t="e">
        <f t="shared" ca="1" si="44"/>
        <v>#REF!</v>
      </c>
    </row>
    <row r="934" spans="1:9" hidden="1" x14ac:dyDescent="0.25">
      <c r="A934" s="102" t="s">
        <v>1741</v>
      </c>
      <c r="B934" s="103" t="s">
        <v>4122</v>
      </c>
      <c r="C934" s="104" t="s">
        <v>184</v>
      </c>
      <c r="D934" s="104">
        <v>0</v>
      </c>
      <c r="E934" s="158">
        <f ca="1">OFFSET(INDEX(Composições!A:J,MATCH(Orçamentária!A934,Composições!A:A,0),10),2,0)</f>
        <v>2.5537044999999994</v>
      </c>
      <c r="F934" s="159">
        <f t="shared" ca="1" si="42"/>
        <v>0</v>
      </c>
      <c r="G934" s="160" t="e">
        <f>IF(A934&lt;&gt;"",IF(AND(#REF!="Padrão",$H$4=#REF!),BDI!$B$17,IF(AND(#REF!="Padrão",$H$4=#REF!),BDI!$C$17,IF(AND(#REF!="Diferenciado",$H$4=#REF!),BDI!$G$17,IF(AND(#REF!="Diferenciado",$H$4=#REF!),BDI!$H$17,IF(#REF!="ZERO",0))))),"")</f>
        <v>#REF!</v>
      </c>
      <c r="H934" s="161" t="e">
        <f t="shared" ca="1" si="43"/>
        <v>#REF!</v>
      </c>
      <c r="I934" s="159" t="e">
        <f t="shared" ca="1" si="44"/>
        <v>#REF!</v>
      </c>
    </row>
    <row r="935" spans="1:9" hidden="1" x14ac:dyDescent="0.25">
      <c r="A935" s="102" t="s">
        <v>1746</v>
      </c>
      <c r="B935" s="103" t="s">
        <v>4123</v>
      </c>
      <c r="C935" s="104" t="s">
        <v>184</v>
      </c>
      <c r="D935" s="104">
        <v>0</v>
      </c>
      <c r="E935" s="158">
        <f ca="1">OFFSET(INDEX(Composições!A:J,MATCH(Orçamentária!A935,Composições!A:A,0),10),2,0)</f>
        <v>3.0371594999999996</v>
      </c>
      <c r="F935" s="159">
        <f t="shared" ca="1" si="42"/>
        <v>0</v>
      </c>
      <c r="G935" s="160" t="e">
        <f>IF(A935&lt;&gt;"",IF(AND(#REF!="Padrão",$H$4=#REF!),BDI!$B$17,IF(AND(#REF!="Padrão",$H$4=#REF!),BDI!$C$17,IF(AND(#REF!="Diferenciado",$H$4=#REF!),BDI!$G$17,IF(AND(#REF!="Diferenciado",$H$4=#REF!),BDI!$H$17,IF(#REF!="ZERO",0))))),"")</f>
        <v>#REF!</v>
      </c>
      <c r="H935" s="161" t="e">
        <f t="shared" ca="1" si="43"/>
        <v>#REF!</v>
      </c>
      <c r="I935" s="159" t="e">
        <f t="shared" ca="1" si="44"/>
        <v>#REF!</v>
      </c>
    </row>
    <row r="936" spans="1:9" hidden="1" x14ac:dyDescent="0.25">
      <c r="A936" s="102" t="s">
        <v>1751</v>
      </c>
      <c r="B936" s="103" t="s">
        <v>4124</v>
      </c>
      <c r="C936" s="104" t="s">
        <v>184</v>
      </c>
      <c r="D936" s="104">
        <v>0</v>
      </c>
      <c r="E936" s="158">
        <f ca="1">OFFSET(INDEX(Composições!A:J,MATCH(Orçamentária!A936,Composições!A:A,0),10),2,0)</f>
        <v>3.6587444999999992</v>
      </c>
      <c r="F936" s="159">
        <f t="shared" ca="1" si="42"/>
        <v>0</v>
      </c>
      <c r="G936" s="160" t="e">
        <f>IF(A936&lt;&gt;"",IF(AND(#REF!="Padrão",$H$4=#REF!),BDI!$B$17,IF(AND(#REF!="Padrão",$H$4=#REF!),BDI!$C$17,IF(AND(#REF!="Diferenciado",$H$4=#REF!),BDI!$G$17,IF(AND(#REF!="Diferenciado",$H$4=#REF!),BDI!$H$17,IF(#REF!="ZERO",0))))),"")</f>
        <v>#REF!</v>
      </c>
      <c r="H936" s="161" t="e">
        <f t="shared" ca="1" si="43"/>
        <v>#REF!</v>
      </c>
      <c r="I936" s="159" t="e">
        <f t="shared" ca="1" si="44"/>
        <v>#REF!</v>
      </c>
    </row>
    <row r="937" spans="1:9" hidden="1" x14ac:dyDescent="0.25">
      <c r="A937" s="102" t="s">
        <v>1756</v>
      </c>
      <c r="B937" s="103" t="s">
        <v>4125</v>
      </c>
      <c r="C937" s="104" t="s">
        <v>184</v>
      </c>
      <c r="D937" s="104">
        <v>0</v>
      </c>
      <c r="E937" s="158">
        <f ca="1">OFFSET(INDEX(Composições!A:J,MATCH(Orçamentária!A937,Composições!A:A,0),10),2,0)</f>
        <v>4.4529920000000001</v>
      </c>
      <c r="F937" s="159">
        <f t="shared" ca="1" si="42"/>
        <v>0</v>
      </c>
      <c r="G937" s="160" t="e">
        <f>IF(A937&lt;&gt;"",IF(AND(#REF!="Padrão",$H$4=#REF!),BDI!$B$17,IF(AND(#REF!="Padrão",$H$4=#REF!),BDI!$C$17,IF(AND(#REF!="Diferenciado",$H$4=#REF!),BDI!$G$17,IF(AND(#REF!="Diferenciado",$H$4=#REF!),BDI!$H$17,IF(#REF!="ZERO",0))))),"")</f>
        <v>#REF!</v>
      </c>
      <c r="H937" s="161" t="e">
        <f t="shared" ca="1" si="43"/>
        <v>#REF!</v>
      </c>
      <c r="I937" s="159" t="e">
        <f t="shared" ca="1" si="44"/>
        <v>#REF!</v>
      </c>
    </row>
    <row r="938" spans="1:9" hidden="1" x14ac:dyDescent="0.25">
      <c r="A938" s="102" t="s">
        <v>1761</v>
      </c>
      <c r="B938" s="103" t="s">
        <v>4126</v>
      </c>
      <c r="C938" s="104" t="s">
        <v>184</v>
      </c>
      <c r="D938" s="104">
        <v>0</v>
      </c>
      <c r="E938" s="158">
        <f ca="1">OFFSET(INDEX(Composições!A:J,MATCH(Orçamentária!A938,Composições!A:A,0),10),2,0)</f>
        <v>5.2817720000000001</v>
      </c>
      <c r="F938" s="159">
        <f t="shared" ca="1" si="42"/>
        <v>0</v>
      </c>
      <c r="G938" s="160" t="e">
        <f>IF(A938&lt;&gt;"",IF(AND(#REF!="Padrão",$H$4=#REF!),BDI!$B$17,IF(AND(#REF!="Padrão",$H$4=#REF!),BDI!$C$17,IF(AND(#REF!="Diferenciado",$H$4=#REF!),BDI!$G$17,IF(AND(#REF!="Diferenciado",$H$4=#REF!),BDI!$H$17,IF(#REF!="ZERO",0))))),"")</f>
        <v>#REF!</v>
      </c>
      <c r="H938" s="161" t="e">
        <f t="shared" ca="1" si="43"/>
        <v>#REF!</v>
      </c>
      <c r="I938" s="159" t="e">
        <f t="shared" ca="1" si="44"/>
        <v>#REF!</v>
      </c>
    </row>
    <row r="939" spans="1:9" hidden="1" x14ac:dyDescent="0.25">
      <c r="A939" s="102" t="s">
        <v>1766</v>
      </c>
      <c r="B939" s="103" t="s">
        <v>4127</v>
      </c>
      <c r="C939" s="104" t="s">
        <v>184</v>
      </c>
      <c r="D939" s="104">
        <v>0</v>
      </c>
      <c r="E939" s="158">
        <f ca="1">OFFSET(INDEX(Composições!A:J,MATCH(Orçamentária!A939,Composições!A:A,0),10),2,0)</f>
        <v>6.2141494999999995</v>
      </c>
      <c r="F939" s="159">
        <f t="shared" ca="1" si="42"/>
        <v>0</v>
      </c>
      <c r="G939" s="160" t="e">
        <f>IF(A939&lt;&gt;"",IF(AND(#REF!="Padrão",$H$4=#REF!),BDI!$B$17,IF(AND(#REF!="Padrão",$H$4=#REF!),BDI!$C$17,IF(AND(#REF!="Diferenciado",$H$4=#REF!),BDI!$G$17,IF(AND(#REF!="Diferenciado",$H$4=#REF!),BDI!$H$17,IF(#REF!="ZERO",0))))),"")</f>
        <v>#REF!</v>
      </c>
      <c r="H939" s="161" t="e">
        <f t="shared" ca="1" si="43"/>
        <v>#REF!</v>
      </c>
      <c r="I939" s="159" t="e">
        <f t="shared" ca="1" si="44"/>
        <v>#REF!</v>
      </c>
    </row>
    <row r="940" spans="1:9" hidden="1" x14ac:dyDescent="0.25">
      <c r="A940" s="102" t="s">
        <v>1771</v>
      </c>
      <c r="B940" s="103" t="s">
        <v>4128</v>
      </c>
      <c r="C940" s="104" t="s">
        <v>184</v>
      </c>
      <c r="D940" s="104">
        <v>0</v>
      </c>
      <c r="E940" s="158">
        <f ca="1">OFFSET(INDEX(Composições!A:J,MATCH(Orçamentária!A940,Composições!A:A,0),10),2,0)</f>
        <v>7.3537219999999994</v>
      </c>
      <c r="F940" s="159">
        <f t="shared" ca="1" si="42"/>
        <v>0</v>
      </c>
      <c r="G940" s="160" t="e">
        <f>IF(A940&lt;&gt;"",IF(AND(#REF!="Padrão",$H$4=#REF!),BDI!$B$17,IF(AND(#REF!="Padrão",$H$4=#REF!),BDI!$C$17,IF(AND(#REF!="Diferenciado",$H$4=#REF!),BDI!$G$17,IF(AND(#REF!="Diferenciado",$H$4=#REF!),BDI!$H$17,IF(#REF!="ZERO",0))))),"")</f>
        <v>#REF!</v>
      </c>
      <c r="H940" s="161" t="e">
        <f t="shared" ca="1" si="43"/>
        <v>#REF!</v>
      </c>
      <c r="I940" s="159" t="e">
        <f t="shared" ca="1" si="44"/>
        <v>#REF!</v>
      </c>
    </row>
    <row r="941" spans="1:9" hidden="1" x14ac:dyDescent="0.25">
      <c r="A941" s="102" t="s">
        <v>1776</v>
      </c>
      <c r="B941" s="103" t="s">
        <v>4129</v>
      </c>
      <c r="C941" s="104" t="s">
        <v>184</v>
      </c>
      <c r="D941" s="104">
        <v>0</v>
      </c>
      <c r="E941" s="158">
        <f ca="1">OFFSET(INDEX(Composições!A:J,MATCH(Orçamentária!A941,Composições!A:A,0),10),2,0)</f>
        <v>2.2429119999999996</v>
      </c>
      <c r="F941" s="159">
        <f t="shared" ca="1" si="42"/>
        <v>0</v>
      </c>
      <c r="G941" s="160" t="e">
        <f>IF(A941&lt;&gt;"",IF(AND(#REF!="Padrão",$H$4=#REF!),BDI!$B$17,IF(AND(#REF!="Padrão",$H$4=#REF!),BDI!$C$17,IF(AND(#REF!="Diferenciado",$H$4=#REF!),BDI!$G$17,IF(AND(#REF!="Diferenciado",$H$4=#REF!),BDI!$H$17,IF(#REF!="ZERO",0))))),"")</f>
        <v>#REF!</v>
      </c>
      <c r="H941" s="161" t="e">
        <f t="shared" ca="1" si="43"/>
        <v>#REF!</v>
      </c>
      <c r="I941" s="159" t="e">
        <f t="shared" ca="1" si="44"/>
        <v>#REF!</v>
      </c>
    </row>
    <row r="942" spans="1:9" hidden="1" x14ac:dyDescent="0.25">
      <c r="A942" s="102" t="s">
        <v>1781</v>
      </c>
      <c r="B942" s="103" t="s">
        <v>4130</v>
      </c>
      <c r="C942" s="104" t="s">
        <v>189</v>
      </c>
      <c r="D942" s="104">
        <v>0</v>
      </c>
      <c r="E942" s="158">
        <f ca="1">OFFSET(INDEX(Composições!A:J,MATCH(Orçamentária!A942,Composições!A:A,0),10),2,0)</f>
        <v>6.6541034596399982</v>
      </c>
      <c r="F942" s="159">
        <f t="shared" ca="1" si="42"/>
        <v>0</v>
      </c>
      <c r="G942" s="160" t="e">
        <f>IF(A942&lt;&gt;"",IF(AND(#REF!="Padrão",$H$4=#REF!),BDI!$B$17,IF(AND(#REF!="Padrão",$H$4=#REF!),BDI!$C$17,IF(AND(#REF!="Diferenciado",$H$4=#REF!),BDI!$G$17,IF(AND(#REF!="Diferenciado",$H$4=#REF!),BDI!$H$17,IF(#REF!="ZERO",0))))),"")</f>
        <v>#REF!</v>
      </c>
      <c r="H942" s="161" t="e">
        <f t="shared" ca="1" si="43"/>
        <v>#REF!</v>
      </c>
      <c r="I942" s="159" t="e">
        <f t="shared" ca="1" si="44"/>
        <v>#REF!</v>
      </c>
    </row>
    <row r="943" spans="1:9" hidden="1" x14ac:dyDescent="0.25">
      <c r="A943" s="102" t="s">
        <v>1787</v>
      </c>
      <c r="B943" s="103" t="s">
        <v>4131</v>
      </c>
      <c r="C943" s="104" t="s">
        <v>184</v>
      </c>
      <c r="D943" s="104">
        <v>0</v>
      </c>
      <c r="E943" s="158">
        <f ca="1">OFFSET(INDEX(Composições!A:J,MATCH(Orçamentária!A943,Composições!A:A,0),10),2,0)</f>
        <v>12.3137380136</v>
      </c>
      <c r="F943" s="159">
        <f t="shared" ca="1" si="42"/>
        <v>0</v>
      </c>
      <c r="G943" s="160" t="e">
        <f>IF(A943&lt;&gt;"",IF(AND(#REF!="Padrão",$H$4=#REF!),BDI!$B$17,IF(AND(#REF!="Padrão",$H$4=#REF!),BDI!$C$17,IF(AND(#REF!="Diferenciado",$H$4=#REF!),BDI!$G$17,IF(AND(#REF!="Diferenciado",$H$4=#REF!),BDI!$H$17,IF(#REF!="ZERO",0))))),"")</f>
        <v>#REF!</v>
      </c>
      <c r="H943" s="161" t="e">
        <f t="shared" ca="1" si="43"/>
        <v>#REF!</v>
      </c>
      <c r="I943" s="159" t="e">
        <f t="shared" ca="1" si="44"/>
        <v>#REF!</v>
      </c>
    </row>
    <row r="944" spans="1:9" hidden="1" x14ac:dyDescent="0.25">
      <c r="A944" s="102" t="s">
        <v>4132</v>
      </c>
      <c r="B944" s="103" t="s">
        <v>4133</v>
      </c>
      <c r="C944" s="104" t="s">
        <v>32</v>
      </c>
      <c r="D944" s="104">
        <v>0</v>
      </c>
      <c r="E944" s="158" t="s">
        <v>1079</v>
      </c>
      <c r="F944" s="159" t="str">
        <f t="shared" si="42"/>
        <v/>
      </c>
      <c r="G944" s="160" t="e">
        <f>IF(A944&lt;&gt;"",IF(AND(#REF!="Padrão",$H$4=#REF!),BDI!$B$17,IF(AND(#REF!="Padrão",$H$4=#REF!),BDI!$C$17,IF(AND(#REF!="Diferenciado",$H$4=#REF!),BDI!$G$17,IF(AND(#REF!="Diferenciado",$H$4=#REF!),BDI!$H$17,IF(#REF!="ZERO",0))))),"")</f>
        <v>#REF!</v>
      </c>
      <c r="H944" s="161" t="str">
        <f t="shared" si="43"/>
        <v/>
      </c>
      <c r="I944" s="159" t="str">
        <f t="shared" si="44"/>
        <v/>
      </c>
    </row>
    <row r="945" spans="1:9" hidden="1" x14ac:dyDescent="0.25">
      <c r="A945" s="102" t="s">
        <v>1789</v>
      </c>
      <c r="B945" s="103" t="s">
        <v>4134</v>
      </c>
      <c r="C945" s="104" t="s">
        <v>2765</v>
      </c>
      <c r="D945" s="104">
        <v>0</v>
      </c>
      <c r="E945" s="158">
        <f ca="1">OFFSET(INDEX(Composições!A:J,MATCH(Orçamentária!A945,Composições!A:A,0),10),2,0)</f>
        <v>3.4323709000000004</v>
      </c>
      <c r="F945" s="159">
        <f t="shared" ca="1" si="42"/>
        <v>0</v>
      </c>
      <c r="G945" s="160" t="e">
        <f>IF(A945&lt;&gt;"",IF(AND(#REF!="Padrão",$H$4=#REF!),BDI!$B$17,IF(AND(#REF!="Padrão",$H$4=#REF!),BDI!$C$17,IF(AND(#REF!="Diferenciado",$H$4=#REF!),BDI!$G$17,IF(AND(#REF!="Diferenciado",$H$4=#REF!),BDI!$H$17,IF(#REF!="ZERO",0))))),"")</f>
        <v>#REF!</v>
      </c>
      <c r="H945" s="161" t="e">
        <f t="shared" ca="1" si="43"/>
        <v>#REF!</v>
      </c>
      <c r="I945" s="159" t="e">
        <f t="shared" ca="1" si="44"/>
        <v>#REF!</v>
      </c>
    </row>
    <row r="946" spans="1:9" hidden="1" x14ac:dyDescent="0.25">
      <c r="A946" s="102" t="s">
        <v>4135</v>
      </c>
      <c r="B946" s="103" t="s">
        <v>4136</v>
      </c>
      <c r="C946" s="104" t="s">
        <v>3989</v>
      </c>
      <c r="D946" s="104">
        <v>0</v>
      </c>
      <c r="E946" s="158" t="s">
        <v>1079</v>
      </c>
      <c r="F946" s="159" t="str">
        <f t="shared" si="42"/>
        <v/>
      </c>
      <c r="G946" s="160" t="e">
        <f>IF(A946&lt;&gt;"",IF(AND(#REF!="Padrão",$H$4=#REF!),BDI!$B$17,IF(AND(#REF!="Padrão",$H$4=#REF!),BDI!$C$17,IF(AND(#REF!="Diferenciado",$H$4=#REF!),BDI!$G$17,IF(AND(#REF!="Diferenciado",$H$4=#REF!),BDI!$H$17,IF(#REF!="ZERO",0))))),"")</f>
        <v>#REF!</v>
      </c>
      <c r="H946" s="161" t="str">
        <f t="shared" si="43"/>
        <v/>
      </c>
      <c r="I946" s="159" t="str">
        <f t="shared" si="44"/>
        <v/>
      </c>
    </row>
    <row r="947" spans="1:9" hidden="1" x14ac:dyDescent="0.25">
      <c r="A947" s="102" t="s">
        <v>1798</v>
      </c>
      <c r="B947" s="103" t="s">
        <v>4137</v>
      </c>
      <c r="C947" s="104" t="s">
        <v>32</v>
      </c>
      <c r="D947" s="104">
        <v>0</v>
      </c>
      <c r="E947" s="158">
        <f ca="1">OFFSET(INDEX(Composições!A:J,MATCH(Orçamentária!A947,Composições!A:A,0),10),2,0)</f>
        <v>125.77999999999999</v>
      </c>
      <c r="F947" s="159">
        <f t="shared" ca="1" si="42"/>
        <v>0</v>
      </c>
      <c r="G947" s="160" t="e">
        <f>IF(A947&lt;&gt;"",IF(AND(#REF!="Padrão",$H$4=#REF!),BDI!$B$17,IF(AND(#REF!="Padrão",$H$4=#REF!),BDI!$C$17,IF(AND(#REF!="Diferenciado",$H$4=#REF!),BDI!$G$17,IF(AND(#REF!="Diferenciado",$H$4=#REF!),BDI!$H$17,IF(#REF!="ZERO",0))))),"")</f>
        <v>#REF!</v>
      </c>
      <c r="H947" s="161" t="e">
        <f t="shared" ca="1" si="43"/>
        <v>#REF!</v>
      </c>
      <c r="I947" s="159" t="e">
        <f t="shared" ca="1" si="44"/>
        <v>#REF!</v>
      </c>
    </row>
    <row r="948" spans="1:9" hidden="1" x14ac:dyDescent="0.25">
      <c r="A948" s="102" t="s">
        <v>1799</v>
      </c>
      <c r="B948" s="103" t="s">
        <v>4138</v>
      </c>
      <c r="C948" s="104" t="s">
        <v>32</v>
      </c>
      <c r="D948" s="104">
        <v>0</v>
      </c>
      <c r="E948" s="158">
        <f ca="1">OFFSET(INDEX(Composições!A:J,MATCH(Orçamentária!A948,Composições!A:A,0),10),2,0)</f>
        <v>26.059583</v>
      </c>
      <c r="F948" s="159">
        <f t="shared" ca="1" si="42"/>
        <v>0</v>
      </c>
      <c r="G948" s="160" t="e">
        <f>IF(A948&lt;&gt;"",IF(AND(#REF!="Padrão",$H$4=#REF!),BDI!$B$17,IF(AND(#REF!="Padrão",$H$4=#REF!),BDI!$C$17,IF(AND(#REF!="Diferenciado",$H$4=#REF!),BDI!$G$17,IF(AND(#REF!="Diferenciado",$H$4=#REF!),BDI!$H$17,IF(#REF!="ZERO",0))))),"")</f>
        <v>#REF!</v>
      </c>
      <c r="H948" s="161" t="e">
        <f t="shared" ca="1" si="43"/>
        <v>#REF!</v>
      </c>
      <c r="I948" s="159" t="e">
        <f t="shared" ca="1" si="44"/>
        <v>#REF!</v>
      </c>
    </row>
    <row r="949" spans="1:9" hidden="1" x14ac:dyDescent="0.25">
      <c r="A949" s="102" t="s">
        <v>1803</v>
      </c>
      <c r="B949" s="103" t="s">
        <v>4139</v>
      </c>
      <c r="C949" s="104" t="s">
        <v>32</v>
      </c>
      <c r="D949" s="104">
        <v>0</v>
      </c>
      <c r="E949" s="158">
        <f ca="1">OFFSET(INDEX(Composições!A:J,MATCH(Orçamentária!A949,Composições!A:A,0),10),2,0)</f>
        <v>6.8420140000000007</v>
      </c>
      <c r="F949" s="159">
        <f t="shared" ca="1" si="42"/>
        <v>0</v>
      </c>
      <c r="G949" s="160" t="e">
        <f>IF(A949&lt;&gt;"",IF(AND(#REF!="Padrão",$H$4=#REF!),BDI!$B$17,IF(AND(#REF!="Padrão",$H$4=#REF!),BDI!$C$17,IF(AND(#REF!="Diferenciado",$H$4=#REF!),BDI!$G$17,IF(AND(#REF!="Diferenciado",$H$4=#REF!),BDI!$H$17,IF(#REF!="ZERO",0))))),"")</f>
        <v>#REF!</v>
      </c>
      <c r="H949" s="161" t="e">
        <f t="shared" ca="1" si="43"/>
        <v>#REF!</v>
      </c>
      <c r="I949" s="159" t="e">
        <f t="shared" ca="1" si="44"/>
        <v>#REF!</v>
      </c>
    </row>
    <row r="950" spans="1:9" hidden="1" x14ac:dyDescent="0.25">
      <c r="A950" s="102" t="s">
        <v>4140</v>
      </c>
      <c r="B950" s="103" t="s">
        <v>4141</v>
      </c>
      <c r="C950" s="104" t="s">
        <v>32</v>
      </c>
      <c r="D950" s="104">
        <v>0</v>
      </c>
      <c r="E950" s="158" t="s">
        <v>1079</v>
      </c>
      <c r="F950" s="159" t="str">
        <f t="shared" si="42"/>
        <v/>
      </c>
      <c r="G950" s="160" t="e">
        <f>IF(A950&lt;&gt;"",IF(AND(#REF!="Padrão",$H$4=#REF!),BDI!$B$17,IF(AND(#REF!="Padrão",$H$4=#REF!),BDI!$C$17,IF(AND(#REF!="Diferenciado",$H$4=#REF!),BDI!$G$17,IF(AND(#REF!="Diferenciado",$H$4=#REF!),BDI!$H$17,IF(#REF!="ZERO",0))))),"")</f>
        <v>#REF!</v>
      </c>
      <c r="H950" s="161" t="str">
        <f t="shared" si="43"/>
        <v/>
      </c>
      <c r="I950" s="198" t="str">
        <f t="shared" si="44"/>
        <v/>
      </c>
    </row>
    <row r="951" spans="1:9" x14ac:dyDescent="0.25">
      <c r="A951" s="204" t="s">
        <v>1807</v>
      </c>
      <c r="B951" s="205" t="s">
        <v>4142</v>
      </c>
      <c r="C951" s="206" t="s">
        <v>32</v>
      </c>
      <c r="D951" s="206">
        <v>3</v>
      </c>
      <c r="E951" s="158">
        <f ca="1">OFFSET(INDEX(Composições!A:J,MATCH(Orçamentária!A951,Composições!A:A,0),10),2,0)</f>
        <v>211.33734335089997</v>
      </c>
      <c r="F951" s="177">
        <f t="shared" ca="1" si="42"/>
        <v>634.01203005269986</v>
      </c>
      <c r="G951" s="160">
        <f>BDI!$C$17</f>
        <v>0.24479999999999999</v>
      </c>
      <c r="H951" s="161">
        <f t="shared" ca="1" si="43"/>
        <v>263.07</v>
      </c>
      <c r="I951" s="202">
        <f t="shared" ca="1" si="44"/>
        <v>789.21</v>
      </c>
    </row>
    <row r="952" spans="1:9" hidden="1" x14ac:dyDescent="0.25">
      <c r="A952" s="102" t="s">
        <v>1814</v>
      </c>
      <c r="B952" s="103" t="s">
        <v>4143</v>
      </c>
      <c r="C952" s="104" t="s">
        <v>4144</v>
      </c>
      <c r="D952" s="104">
        <v>0</v>
      </c>
      <c r="E952" s="158">
        <f ca="1">OFFSET(INDEX(Composições!A:J,MATCH(Orçamentária!A952,Composições!A:A,0),10),2,0)</f>
        <v>74.565499999999986</v>
      </c>
      <c r="F952" s="159">
        <f t="shared" ca="1" si="42"/>
        <v>0</v>
      </c>
      <c r="G952" s="160" t="e">
        <f>IF(A952&lt;&gt;"",IF(AND(#REF!="Padrão",$H$4=#REF!),BDI!$B$17,IF(AND(#REF!="Padrão",$H$4=#REF!),BDI!$C$17,IF(AND(#REF!="Diferenciado",$H$4=#REF!),BDI!$G$17,IF(AND(#REF!="Diferenciado",$H$4=#REF!),BDI!$H$17,IF(#REF!="ZERO",0))))),"")</f>
        <v>#REF!</v>
      </c>
      <c r="H952" s="161" t="e">
        <f t="shared" ca="1" si="43"/>
        <v>#REF!</v>
      </c>
      <c r="I952" s="159" t="e">
        <f t="shared" ca="1" si="44"/>
        <v>#REF!</v>
      </c>
    </row>
    <row r="953" spans="1:9" hidden="1" x14ac:dyDescent="0.25">
      <c r="A953" s="102" t="s">
        <v>1817</v>
      </c>
      <c r="B953" s="103" t="s">
        <v>4145</v>
      </c>
      <c r="C953" s="104" t="s">
        <v>4146</v>
      </c>
      <c r="D953" s="104">
        <v>0</v>
      </c>
      <c r="E953" s="158">
        <f ca="1">OFFSET(INDEX(Composições!A:J,MATCH(Orçamentária!A953,Composições!A:A,0),10),2,0)</f>
        <v>570</v>
      </c>
      <c r="F953" s="159">
        <f t="shared" ca="1" si="42"/>
        <v>0</v>
      </c>
      <c r="G953" s="160" t="e">
        <f>IF(A953&lt;&gt;"",IF(AND(#REF!="Padrão",$H$4=#REF!),BDI!$B$17,IF(AND(#REF!="Padrão",$H$4=#REF!),BDI!$C$17,IF(AND(#REF!="Diferenciado",$H$4=#REF!),BDI!$G$17,IF(AND(#REF!="Diferenciado",$H$4=#REF!),BDI!$H$17,IF(#REF!="ZERO",0))))),"")</f>
        <v>#REF!</v>
      </c>
      <c r="H953" s="161" t="e">
        <f t="shared" ca="1" si="43"/>
        <v>#REF!</v>
      </c>
      <c r="I953" s="159" t="e">
        <f t="shared" ca="1" si="44"/>
        <v>#REF!</v>
      </c>
    </row>
    <row r="954" spans="1:9" hidden="1" x14ac:dyDescent="0.25">
      <c r="A954" s="102" t="s">
        <v>4147</v>
      </c>
      <c r="B954" s="103" t="s">
        <v>4148</v>
      </c>
      <c r="C954" s="104" t="s">
        <v>4146</v>
      </c>
      <c r="D954" s="104">
        <v>0</v>
      </c>
      <c r="E954" s="158" t="s">
        <v>1079</v>
      </c>
      <c r="F954" s="159" t="str">
        <f t="shared" si="42"/>
        <v/>
      </c>
      <c r="G954" s="160" t="e">
        <f>IF(A954&lt;&gt;"",IF(AND(#REF!="Padrão",$H$4=#REF!),BDI!$B$17,IF(AND(#REF!="Padrão",$H$4=#REF!),BDI!$C$17,IF(AND(#REF!="Diferenciado",$H$4=#REF!),BDI!$G$17,IF(AND(#REF!="Diferenciado",$H$4=#REF!),BDI!$H$17,IF(#REF!="ZERO",0))))),"")</f>
        <v>#REF!</v>
      </c>
      <c r="H954" s="161" t="str">
        <f t="shared" si="43"/>
        <v/>
      </c>
      <c r="I954" s="159" t="str">
        <f t="shared" si="44"/>
        <v/>
      </c>
    </row>
    <row r="955" spans="1:9" hidden="1" x14ac:dyDescent="0.25">
      <c r="A955" s="102" t="s">
        <v>1820</v>
      </c>
      <c r="B955" s="103" t="s">
        <v>4149</v>
      </c>
      <c r="C955" s="104" t="s">
        <v>189</v>
      </c>
      <c r="D955" s="104">
        <v>0</v>
      </c>
      <c r="E955" s="158">
        <f ca="1">OFFSET(INDEX(Composições!A:J,MATCH(Orçamentária!A955,Composições!A:A,0),10),2,0)</f>
        <v>1.2894064999999999</v>
      </c>
      <c r="F955" s="159">
        <f t="shared" ca="1" si="42"/>
        <v>0</v>
      </c>
      <c r="G955" s="160" t="e">
        <f>IF(A955&lt;&gt;"",IF(AND(#REF!="Padrão",$H$4=#REF!),BDI!$B$17,IF(AND(#REF!="Padrão",$H$4=#REF!),BDI!$C$17,IF(AND(#REF!="Diferenciado",$H$4=#REF!),BDI!$G$17,IF(AND(#REF!="Diferenciado",$H$4=#REF!),BDI!$H$17,IF(#REF!="ZERO",0))))),"")</f>
        <v>#REF!</v>
      </c>
      <c r="H955" s="161" t="e">
        <f t="shared" ca="1" si="43"/>
        <v>#REF!</v>
      </c>
      <c r="I955" s="159" t="e">
        <f t="shared" ca="1" si="44"/>
        <v>#REF!</v>
      </c>
    </row>
    <row r="956" spans="1:9" hidden="1" x14ac:dyDescent="0.25">
      <c r="A956" s="102" t="s">
        <v>1824</v>
      </c>
      <c r="B956" s="103" t="s">
        <v>4150</v>
      </c>
      <c r="C956" s="104" t="s">
        <v>189</v>
      </c>
      <c r="D956" s="104">
        <v>0</v>
      </c>
      <c r="E956" s="158">
        <f ca="1">OFFSET(INDEX(Composições!A:J,MATCH(Orçamentária!A956,Composições!A:A,0),10),2,0)</f>
        <v>4.02325</v>
      </c>
      <c r="F956" s="159">
        <f t="shared" ca="1" si="42"/>
        <v>0</v>
      </c>
      <c r="G956" s="160" t="e">
        <f>IF(A956&lt;&gt;"",IF(AND(#REF!="Padrão",$H$4=#REF!),BDI!$B$17,IF(AND(#REF!="Padrão",$H$4=#REF!),BDI!$C$17,IF(AND(#REF!="Diferenciado",$H$4=#REF!),BDI!$G$17,IF(AND(#REF!="Diferenciado",$H$4=#REF!),BDI!$H$17,IF(#REF!="ZERO",0))))),"")</f>
        <v>#REF!</v>
      </c>
      <c r="H956" s="161" t="e">
        <f t="shared" ca="1" si="43"/>
        <v>#REF!</v>
      </c>
      <c r="I956" s="159" t="e">
        <f t="shared" ca="1" si="44"/>
        <v>#REF!</v>
      </c>
    </row>
    <row r="957" spans="1:9" hidden="1" x14ac:dyDescent="0.25">
      <c r="A957" s="102" t="s">
        <v>1825</v>
      </c>
      <c r="B957" s="103" t="s">
        <v>4151</v>
      </c>
      <c r="C957" s="104" t="s">
        <v>189</v>
      </c>
      <c r="D957" s="104">
        <v>0</v>
      </c>
      <c r="E957" s="158">
        <f ca="1">OFFSET(INDEX(Composições!A:J,MATCH(Orçamentária!A957,Composições!A:A,0),10),2,0)</f>
        <v>2.2244573000000001</v>
      </c>
      <c r="F957" s="159">
        <f t="shared" ca="1" si="42"/>
        <v>0</v>
      </c>
      <c r="G957" s="160" t="e">
        <f>IF(A957&lt;&gt;"",IF(AND(#REF!="Padrão",$H$4=#REF!),BDI!$B$17,IF(AND(#REF!="Padrão",$H$4=#REF!),BDI!$C$17,IF(AND(#REF!="Diferenciado",$H$4=#REF!),BDI!$G$17,IF(AND(#REF!="Diferenciado",$H$4=#REF!),BDI!$H$17,IF(#REF!="ZERO",0))))),"")</f>
        <v>#REF!</v>
      </c>
      <c r="H957" s="161" t="e">
        <f t="shared" ca="1" si="43"/>
        <v>#REF!</v>
      </c>
      <c r="I957" s="159" t="e">
        <f t="shared" ca="1" si="44"/>
        <v>#REF!</v>
      </c>
    </row>
    <row r="958" spans="1:9" hidden="1" x14ac:dyDescent="0.25">
      <c r="A958" s="102" t="s">
        <v>1826</v>
      </c>
      <c r="B958" s="103" t="s">
        <v>4152</v>
      </c>
      <c r="C958" s="104" t="s">
        <v>189</v>
      </c>
      <c r="D958" s="104">
        <v>0</v>
      </c>
      <c r="E958" s="158">
        <f ca="1">OFFSET(INDEX(Composições!A:J,MATCH(Orçamentária!A958,Composições!A:A,0),10),2,0)</f>
        <v>30.631562499999998</v>
      </c>
      <c r="F958" s="159">
        <f t="shared" ca="1" si="42"/>
        <v>0</v>
      </c>
      <c r="G958" s="160" t="e">
        <f>IF(A958&lt;&gt;"",IF(AND(#REF!="Padrão",$H$4=#REF!),BDI!$B$17,IF(AND(#REF!="Padrão",$H$4=#REF!),BDI!$C$17,IF(AND(#REF!="Diferenciado",$H$4=#REF!),BDI!$G$17,IF(AND(#REF!="Diferenciado",$H$4=#REF!),BDI!$H$17,IF(#REF!="ZERO",0))))),"")</f>
        <v>#REF!</v>
      </c>
      <c r="H958" s="161" t="e">
        <f t="shared" ca="1" si="43"/>
        <v>#REF!</v>
      </c>
      <c r="I958" s="159" t="e">
        <f t="shared" ca="1" si="44"/>
        <v>#REF!</v>
      </c>
    </row>
    <row r="959" spans="1:9" hidden="1" x14ac:dyDescent="0.25">
      <c r="A959" s="102" t="s">
        <v>1832</v>
      </c>
      <c r="B959" s="103" t="s">
        <v>4153</v>
      </c>
      <c r="C959" s="104" t="s">
        <v>189</v>
      </c>
      <c r="D959" s="104">
        <v>0</v>
      </c>
      <c r="E959" s="158">
        <f ca="1">OFFSET(INDEX(Composições!A:J,MATCH(Orçamentária!A959,Composições!A:A,0),10),2,0)</f>
        <v>34.391361468749999</v>
      </c>
      <c r="F959" s="159">
        <f t="shared" ca="1" si="42"/>
        <v>0</v>
      </c>
      <c r="G959" s="160" t="e">
        <f>IF(A959&lt;&gt;"",IF(AND(#REF!="Padrão",$H$4=#REF!),BDI!$B$17,IF(AND(#REF!="Padrão",$H$4=#REF!),BDI!$C$17,IF(AND(#REF!="Diferenciado",$H$4=#REF!),BDI!$G$17,IF(AND(#REF!="Diferenciado",$H$4=#REF!),BDI!$H$17,IF(#REF!="ZERO",0))))),"")</f>
        <v>#REF!</v>
      </c>
      <c r="H959" s="161" t="e">
        <f t="shared" ca="1" si="43"/>
        <v>#REF!</v>
      </c>
      <c r="I959" s="159" t="e">
        <f t="shared" ca="1" si="44"/>
        <v>#REF!</v>
      </c>
    </row>
    <row r="960" spans="1:9" hidden="1" x14ac:dyDescent="0.25">
      <c r="A960" s="102" t="s">
        <v>1838</v>
      </c>
      <c r="B960" s="103" t="s">
        <v>4154</v>
      </c>
      <c r="C960" s="104" t="s">
        <v>189</v>
      </c>
      <c r="D960" s="104">
        <v>0</v>
      </c>
      <c r="E960" s="158">
        <f ca="1">OFFSET(INDEX(Composições!A:J,MATCH(Orçamentária!A960,Composições!A:A,0),10),2,0)</f>
        <v>41.313963968749995</v>
      </c>
      <c r="F960" s="159">
        <f t="shared" ca="1" si="42"/>
        <v>0</v>
      </c>
      <c r="G960" s="160" t="e">
        <f>IF(A960&lt;&gt;"",IF(AND(#REF!="Padrão",$H$4=#REF!),BDI!$B$17,IF(AND(#REF!="Padrão",$H$4=#REF!),BDI!$C$17,IF(AND(#REF!="Diferenciado",$H$4=#REF!),BDI!$G$17,IF(AND(#REF!="Diferenciado",$H$4=#REF!),BDI!$H$17,IF(#REF!="ZERO",0))))),"")</f>
        <v>#REF!</v>
      </c>
      <c r="H960" s="161" t="e">
        <f t="shared" ca="1" si="43"/>
        <v>#REF!</v>
      </c>
      <c r="I960" s="159" t="e">
        <f t="shared" ca="1" si="44"/>
        <v>#REF!</v>
      </c>
    </row>
    <row r="961" spans="1:9" hidden="1" x14ac:dyDescent="0.25">
      <c r="A961" s="102" t="s">
        <v>1842</v>
      </c>
      <c r="B961" s="103" t="s">
        <v>4155</v>
      </c>
      <c r="C961" s="104" t="s">
        <v>189</v>
      </c>
      <c r="D961" s="104">
        <v>0</v>
      </c>
      <c r="E961" s="158">
        <f ca="1">OFFSET(INDEX(Composições!A:J,MATCH(Orçamentária!A961,Composições!A:A,0),10),2,0)</f>
        <v>12.1676</v>
      </c>
      <c r="F961" s="159">
        <f t="shared" ca="1" si="42"/>
        <v>0</v>
      </c>
      <c r="G961" s="160" t="e">
        <f>IF(A961&lt;&gt;"",IF(AND(#REF!="Padrão",$H$4=#REF!),BDI!$B$17,IF(AND(#REF!="Padrão",$H$4=#REF!),BDI!$C$17,IF(AND(#REF!="Diferenciado",$H$4=#REF!),BDI!$G$17,IF(AND(#REF!="Diferenciado",$H$4=#REF!),BDI!$H$17,IF(#REF!="ZERO",0))))),"")</f>
        <v>#REF!</v>
      </c>
      <c r="H961" s="161" t="e">
        <f t="shared" ca="1" si="43"/>
        <v>#REF!</v>
      </c>
      <c r="I961" s="159" t="e">
        <f t="shared" ca="1" si="44"/>
        <v>#REF!</v>
      </c>
    </row>
    <row r="962" spans="1:9" hidden="1" x14ac:dyDescent="0.25">
      <c r="A962" s="102" t="s">
        <v>1843</v>
      </c>
      <c r="B962" s="103" t="s">
        <v>4156</v>
      </c>
      <c r="C962" s="104" t="s">
        <v>189</v>
      </c>
      <c r="D962" s="104">
        <v>0</v>
      </c>
      <c r="E962" s="158">
        <f ca="1">OFFSET(INDEX(Composições!A:J,MATCH(Orçamentária!A962,Composições!A:A,0),10),2,0)</f>
        <v>36.502799999999993</v>
      </c>
      <c r="F962" s="159">
        <f t="shared" ca="1" si="42"/>
        <v>0</v>
      </c>
      <c r="G962" s="160" t="e">
        <f>IF(A962&lt;&gt;"",IF(AND(#REF!="Padrão",$H$4=#REF!),BDI!$B$17,IF(AND(#REF!="Padrão",$H$4=#REF!),BDI!$C$17,IF(AND(#REF!="Diferenciado",$H$4=#REF!),BDI!$G$17,IF(AND(#REF!="Diferenciado",$H$4=#REF!),BDI!$H$17,IF(#REF!="ZERO",0))))),"")</f>
        <v>#REF!</v>
      </c>
      <c r="H962" s="161" t="e">
        <f t="shared" ca="1" si="43"/>
        <v>#REF!</v>
      </c>
      <c r="I962" s="159" t="e">
        <f t="shared" ca="1" si="44"/>
        <v>#REF!</v>
      </c>
    </row>
    <row r="963" spans="1:9" hidden="1" x14ac:dyDescent="0.25">
      <c r="A963" s="102" t="s">
        <v>1844</v>
      </c>
      <c r="B963" s="103" t="s">
        <v>4157</v>
      </c>
      <c r="C963" s="104" t="s">
        <v>189</v>
      </c>
      <c r="D963" s="104">
        <v>0</v>
      </c>
      <c r="E963" s="158">
        <f ca="1">OFFSET(INDEX(Composições!A:J,MATCH(Orçamentária!A963,Composições!A:A,0),10),2,0)</f>
        <v>6.8452250000000001</v>
      </c>
      <c r="F963" s="159">
        <f t="shared" ca="1" si="42"/>
        <v>0</v>
      </c>
      <c r="G963" s="160" t="e">
        <f>IF(A963&lt;&gt;"",IF(AND(#REF!="Padrão",$H$4=#REF!),BDI!$B$17,IF(AND(#REF!="Padrão",$H$4=#REF!),BDI!$C$17,IF(AND(#REF!="Diferenciado",$H$4=#REF!),BDI!$G$17,IF(AND(#REF!="Diferenciado",$H$4=#REF!),BDI!$H$17,IF(#REF!="ZERO",0))))),"")</f>
        <v>#REF!</v>
      </c>
      <c r="H963" s="161" t="e">
        <f t="shared" ca="1" si="43"/>
        <v>#REF!</v>
      </c>
      <c r="I963" s="159" t="e">
        <f t="shared" ca="1" si="44"/>
        <v>#REF!</v>
      </c>
    </row>
    <row r="964" spans="1:9" hidden="1" x14ac:dyDescent="0.25">
      <c r="A964" s="102" t="s">
        <v>1847</v>
      </c>
      <c r="B964" s="103" t="s">
        <v>4158</v>
      </c>
      <c r="C964" s="104" t="s">
        <v>189</v>
      </c>
      <c r="D964" s="104">
        <v>0</v>
      </c>
      <c r="E964" s="158">
        <f ca="1">OFFSET(INDEX(Composições!A:J,MATCH(Orçamentária!A964,Composições!A:A,0),10),2,0)</f>
        <v>4.2977999999999996</v>
      </c>
      <c r="F964" s="159">
        <f t="shared" ca="1" si="42"/>
        <v>0</v>
      </c>
      <c r="G964" s="160" t="e">
        <f>IF(A964&lt;&gt;"",IF(AND(#REF!="Padrão",$H$4=#REF!),BDI!$B$17,IF(AND(#REF!="Padrão",$H$4=#REF!),BDI!$C$17,IF(AND(#REF!="Diferenciado",$H$4=#REF!),BDI!$G$17,IF(AND(#REF!="Diferenciado",$H$4=#REF!),BDI!$H$17,IF(#REF!="ZERO",0))))),"")</f>
        <v>#REF!</v>
      </c>
      <c r="H964" s="161" t="e">
        <f t="shared" ca="1" si="43"/>
        <v>#REF!</v>
      </c>
      <c r="I964" s="159" t="e">
        <f t="shared" ca="1" si="44"/>
        <v>#REF!</v>
      </c>
    </row>
    <row r="965" spans="1:9" ht="25.5" hidden="1" x14ac:dyDescent="0.25">
      <c r="A965" s="102" t="s">
        <v>1848</v>
      </c>
      <c r="B965" s="103" t="s">
        <v>4159</v>
      </c>
      <c r="C965" s="104" t="s">
        <v>32</v>
      </c>
      <c r="D965" s="104">
        <v>0</v>
      </c>
      <c r="E965" s="158">
        <f ca="1">OFFSET(INDEX(Composições!A:J,MATCH(Orçamentária!A965,Composições!A:A,0),10),2,0)</f>
        <v>1.4325999999999999</v>
      </c>
      <c r="F965" s="159">
        <f t="shared" ca="1" si="42"/>
        <v>0</v>
      </c>
      <c r="G965" s="160" t="e">
        <f>IF(A965&lt;&gt;"",IF(AND(#REF!="Padrão",$H$4=#REF!),BDI!$B$17,IF(AND(#REF!="Padrão",$H$4=#REF!),BDI!$C$17,IF(AND(#REF!="Diferenciado",$H$4=#REF!),BDI!$G$17,IF(AND(#REF!="Diferenciado",$H$4=#REF!),BDI!$H$17,IF(#REF!="ZERO",0))))),"")</f>
        <v>#REF!</v>
      </c>
      <c r="H965" s="161" t="e">
        <f t="shared" ca="1" si="43"/>
        <v>#REF!</v>
      </c>
      <c r="I965" s="159" t="e">
        <f t="shared" ca="1" si="44"/>
        <v>#REF!</v>
      </c>
    </row>
    <row r="966" spans="1:9" ht="25.5" hidden="1" x14ac:dyDescent="0.25">
      <c r="A966" s="102" t="s">
        <v>1849</v>
      </c>
      <c r="B966" s="103" t="s">
        <v>4160</v>
      </c>
      <c r="C966" s="104" t="s">
        <v>32</v>
      </c>
      <c r="D966" s="104">
        <v>0</v>
      </c>
      <c r="E966" s="158">
        <f ca="1">OFFSET(INDEX(Composições!A:J,MATCH(Orçamentária!A966,Composições!A:A,0),10),2,0)</f>
        <v>6.8275511296999998</v>
      </c>
      <c r="F966" s="159">
        <f t="shared" ca="1" si="42"/>
        <v>0</v>
      </c>
      <c r="G966" s="160" t="e">
        <f>IF(A966&lt;&gt;"",IF(AND(#REF!="Padrão",$H$4=#REF!),BDI!$B$17,IF(AND(#REF!="Padrão",$H$4=#REF!),BDI!$C$17,IF(AND(#REF!="Diferenciado",$H$4=#REF!),BDI!$G$17,IF(AND(#REF!="Diferenciado",$H$4=#REF!),BDI!$H$17,IF(#REF!="ZERO",0))))),"")</f>
        <v>#REF!</v>
      </c>
      <c r="H966" s="161" t="e">
        <f t="shared" ca="1" si="43"/>
        <v>#REF!</v>
      </c>
      <c r="I966" s="159" t="e">
        <f t="shared" ca="1" si="44"/>
        <v>#REF!</v>
      </c>
    </row>
    <row r="967" spans="1:9" hidden="1" x14ac:dyDescent="0.25">
      <c r="A967" s="102" t="s">
        <v>1856</v>
      </c>
      <c r="B967" s="103" t="s">
        <v>4161</v>
      </c>
      <c r="C967" s="104" t="s">
        <v>32</v>
      </c>
      <c r="D967" s="104">
        <v>0</v>
      </c>
      <c r="E967" s="158">
        <f ca="1">OFFSET(INDEX(Composições!A:J,MATCH(Orçamentária!A967,Composições!A:A,0),10),2,0)</f>
        <v>6.8275511296999998</v>
      </c>
      <c r="F967" s="159">
        <f t="shared" ref="F967:F1030" ca="1" si="45">IF(ISNUMBER(E967),D967*E967,"")</f>
        <v>0</v>
      </c>
      <c r="G967" s="160" t="e">
        <f>IF(A967&lt;&gt;"",IF(AND(#REF!="Padrão",$H$4=#REF!),BDI!$B$17,IF(AND(#REF!="Padrão",$H$4=#REF!),BDI!$C$17,IF(AND(#REF!="Diferenciado",$H$4=#REF!),BDI!$G$17,IF(AND(#REF!="Diferenciado",$H$4=#REF!),BDI!$H$17,IF(#REF!="ZERO",0))))),"")</f>
        <v>#REF!</v>
      </c>
      <c r="H967" s="161" t="e">
        <f t="shared" ref="H967:H1030" ca="1" si="46">IF(ISNUMBER(E967),ROUND(E967*(1+G967),2),"")</f>
        <v>#REF!</v>
      </c>
      <c r="I967" s="159" t="e">
        <f t="shared" ref="I967:I1030" ca="1" si="47">IF(ISNUMBER(E967),ROUND(H967*D967,2),"")</f>
        <v>#REF!</v>
      </c>
    </row>
    <row r="968" spans="1:9" hidden="1" x14ac:dyDescent="0.25">
      <c r="A968" s="102" t="s">
        <v>4162</v>
      </c>
      <c r="B968" s="103" t="s">
        <v>4163</v>
      </c>
      <c r="C968" s="104" t="s">
        <v>32</v>
      </c>
      <c r="D968" s="104">
        <v>0</v>
      </c>
      <c r="E968" s="158" t="s">
        <v>1079</v>
      </c>
      <c r="F968" s="159" t="str">
        <f t="shared" si="45"/>
        <v/>
      </c>
      <c r="G968" s="160" t="e">
        <f>IF(A968&lt;&gt;"",IF(AND(#REF!="Padrão",$H$4=#REF!),BDI!$B$17,IF(AND(#REF!="Padrão",$H$4=#REF!),BDI!$C$17,IF(AND(#REF!="Diferenciado",$H$4=#REF!),BDI!$G$17,IF(AND(#REF!="Diferenciado",$H$4=#REF!),BDI!$H$17,IF(#REF!="ZERO",0))))),"")</f>
        <v>#REF!</v>
      </c>
      <c r="H968" s="161" t="str">
        <f t="shared" si="46"/>
        <v/>
      </c>
      <c r="I968" s="159" t="str">
        <f t="shared" si="47"/>
        <v/>
      </c>
    </row>
    <row r="969" spans="1:9" hidden="1" x14ac:dyDescent="0.25">
      <c r="A969" s="102" t="s">
        <v>1858</v>
      </c>
      <c r="B969" s="103" t="s">
        <v>4164</v>
      </c>
      <c r="C969" s="104" t="s">
        <v>189</v>
      </c>
      <c r="D969" s="104">
        <v>0</v>
      </c>
      <c r="E969" s="158">
        <f ca="1">OFFSET(INDEX(Composições!A:J,MATCH(Orçamentária!A969,Composições!A:A,0),10),2,0)</f>
        <v>36.189300000000003</v>
      </c>
      <c r="F969" s="159">
        <f t="shared" ca="1" si="45"/>
        <v>0</v>
      </c>
      <c r="G969" s="160" t="e">
        <f>IF(A969&lt;&gt;"",IF(AND(#REF!="Padrão",$H$4=#REF!),BDI!$B$17,IF(AND(#REF!="Padrão",$H$4=#REF!),BDI!$C$17,IF(AND(#REF!="Diferenciado",$H$4=#REF!),BDI!$G$17,IF(AND(#REF!="Diferenciado",$H$4=#REF!),BDI!$H$17,IF(#REF!="ZERO",0))))),"")</f>
        <v>#REF!</v>
      </c>
      <c r="H969" s="161" t="e">
        <f t="shared" ca="1" si="46"/>
        <v>#REF!</v>
      </c>
      <c r="I969" s="159" t="e">
        <f t="shared" ca="1" si="47"/>
        <v>#REF!</v>
      </c>
    </row>
    <row r="970" spans="1:9" hidden="1" x14ac:dyDescent="0.25">
      <c r="A970" s="102" t="s">
        <v>1862</v>
      </c>
      <c r="B970" s="103" t="s">
        <v>4165</v>
      </c>
      <c r="C970" s="104" t="s">
        <v>189</v>
      </c>
      <c r="D970" s="104">
        <v>0</v>
      </c>
      <c r="E970" s="158">
        <f ca="1">OFFSET(INDEX(Composições!A:J,MATCH(Orçamentária!A970,Composições!A:A,0),10),2,0)</f>
        <v>52.105337782424996</v>
      </c>
      <c r="F970" s="159">
        <f t="shared" ca="1" si="45"/>
        <v>0</v>
      </c>
      <c r="G970" s="160" t="e">
        <f>IF(A970&lt;&gt;"",IF(AND(#REF!="Padrão",$H$4=#REF!),BDI!$B$17,IF(AND(#REF!="Padrão",$H$4=#REF!),BDI!$C$17,IF(AND(#REF!="Diferenciado",$H$4=#REF!),BDI!$G$17,IF(AND(#REF!="Diferenciado",$H$4=#REF!),BDI!$H$17,IF(#REF!="ZERO",0))))),"")</f>
        <v>#REF!</v>
      </c>
      <c r="H970" s="161" t="e">
        <f t="shared" ca="1" si="46"/>
        <v>#REF!</v>
      </c>
      <c r="I970" s="159" t="e">
        <f t="shared" ca="1" si="47"/>
        <v>#REF!</v>
      </c>
    </row>
    <row r="971" spans="1:9" hidden="1" x14ac:dyDescent="0.25">
      <c r="A971" s="102" t="s">
        <v>1868</v>
      </c>
      <c r="B971" s="103" t="s">
        <v>4166</v>
      </c>
      <c r="C971" s="104" t="s">
        <v>189</v>
      </c>
      <c r="D971" s="104">
        <v>0</v>
      </c>
      <c r="E971" s="158">
        <f ca="1">OFFSET(INDEX(Composições!A:J,MATCH(Orçamentária!A971,Composições!A:A,0),10),2,0)</f>
        <v>36.189300000000003</v>
      </c>
      <c r="F971" s="159">
        <f t="shared" ca="1" si="45"/>
        <v>0</v>
      </c>
      <c r="G971" s="160" t="e">
        <f>IF(A971&lt;&gt;"",IF(AND(#REF!="Padrão",$H$4=#REF!),BDI!$B$17,IF(AND(#REF!="Padrão",$H$4=#REF!),BDI!$C$17,IF(AND(#REF!="Diferenciado",$H$4=#REF!),BDI!$G$17,IF(AND(#REF!="Diferenciado",$H$4=#REF!),BDI!$H$17,IF(#REF!="ZERO",0))))),"")</f>
        <v>#REF!</v>
      </c>
      <c r="H971" s="161" t="e">
        <f t="shared" ca="1" si="46"/>
        <v>#REF!</v>
      </c>
      <c r="I971" s="159" t="e">
        <f t="shared" ca="1" si="47"/>
        <v>#REF!</v>
      </c>
    </row>
    <row r="972" spans="1:9" hidden="1" x14ac:dyDescent="0.25">
      <c r="A972" s="102" t="s">
        <v>1870</v>
      </c>
      <c r="B972" s="103" t="s">
        <v>4167</v>
      </c>
      <c r="C972" s="104" t="s">
        <v>189</v>
      </c>
      <c r="D972" s="104">
        <v>0</v>
      </c>
      <c r="E972" s="158">
        <f ca="1">OFFSET(INDEX(Composições!A:J,MATCH(Orçamentária!A972,Composições!A:A,0),10),2,0)</f>
        <v>52.105337782424996</v>
      </c>
      <c r="F972" s="159">
        <f t="shared" ca="1" si="45"/>
        <v>0</v>
      </c>
      <c r="G972" s="160" t="e">
        <f>IF(A972&lt;&gt;"",IF(AND(#REF!="Padrão",$H$4=#REF!),BDI!$B$17,IF(AND(#REF!="Padrão",$H$4=#REF!),BDI!$C$17,IF(AND(#REF!="Diferenciado",$H$4=#REF!),BDI!$G$17,IF(AND(#REF!="Diferenciado",$H$4=#REF!),BDI!$H$17,IF(#REF!="ZERO",0))))),"")</f>
        <v>#REF!</v>
      </c>
      <c r="H972" s="161" t="e">
        <f t="shared" ca="1" si="46"/>
        <v>#REF!</v>
      </c>
      <c r="I972" s="159" t="e">
        <f t="shared" ca="1" si="47"/>
        <v>#REF!</v>
      </c>
    </row>
    <row r="973" spans="1:9" ht="25.5" hidden="1" x14ac:dyDescent="0.25">
      <c r="A973" s="102" t="s">
        <v>1871</v>
      </c>
      <c r="B973" s="103" t="s">
        <v>4168</v>
      </c>
      <c r="C973" s="104" t="s">
        <v>189</v>
      </c>
      <c r="D973" s="104">
        <v>0</v>
      </c>
      <c r="E973" s="158">
        <f ca="1">OFFSET(INDEX(Composições!A:J,MATCH(Orçamentária!A973,Composições!A:A,0),10),2,0)</f>
        <v>5.4893127824249994</v>
      </c>
      <c r="F973" s="159">
        <f t="shared" ca="1" si="45"/>
        <v>0</v>
      </c>
      <c r="G973" s="160" t="e">
        <f>IF(A973&lt;&gt;"",IF(AND(#REF!="Padrão",$H$4=#REF!),BDI!$B$17,IF(AND(#REF!="Padrão",$H$4=#REF!),BDI!$C$17,IF(AND(#REF!="Diferenciado",$H$4=#REF!),BDI!$G$17,IF(AND(#REF!="Diferenciado",$H$4=#REF!),BDI!$H$17,IF(#REF!="ZERO",0))))),"")</f>
        <v>#REF!</v>
      </c>
      <c r="H973" s="161" t="e">
        <f t="shared" ca="1" si="46"/>
        <v>#REF!</v>
      </c>
      <c r="I973" s="159" t="e">
        <f t="shared" ca="1" si="47"/>
        <v>#REF!</v>
      </c>
    </row>
    <row r="974" spans="1:9" ht="25.5" hidden="1" x14ac:dyDescent="0.25">
      <c r="A974" s="102" t="s">
        <v>4169</v>
      </c>
      <c r="B974" s="103" t="s">
        <v>4170</v>
      </c>
      <c r="C974" s="104" t="s">
        <v>189</v>
      </c>
      <c r="D974" s="104">
        <v>0</v>
      </c>
      <c r="E974" s="158" t="s">
        <v>1079</v>
      </c>
      <c r="F974" s="159" t="str">
        <f t="shared" si="45"/>
        <v/>
      </c>
      <c r="G974" s="160" t="e">
        <f>IF(A974&lt;&gt;"",IF(AND(#REF!="Padrão",$H$4=#REF!),BDI!$B$17,IF(AND(#REF!="Padrão",$H$4=#REF!),BDI!$C$17,IF(AND(#REF!="Diferenciado",$H$4=#REF!),BDI!$G$17,IF(AND(#REF!="Diferenciado",$H$4=#REF!),BDI!$H$17,IF(#REF!="ZERO",0))))),"")</f>
        <v>#REF!</v>
      </c>
      <c r="H974" s="161" t="str">
        <f t="shared" si="46"/>
        <v/>
      </c>
      <c r="I974" s="159" t="str">
        <f t="shared" si="47"/>
        <v/>
      </c>
    </row>
    <row r="975" spans="1:9" hidden="1" x14ac:dyDescent="0.25">
      <c r="A975" s="102" t="s">
        <v>1873</v>
      </c>
      <c r="B975" s="103" t="s">
        <v>4171</v>
      </c>
      <c r="C975" s="104" t="s">
        <v>189</v>
      </c>
      <c r="D975" s="104">
        <v>0</v>
      </c>
      <c r="E975" s="158">
        <f ca="1">OFFSET(INDEX(Composições!A:J,MATCH(Orçamentária!A975,Composições!A:A,0),10),2,0)</f>
        <v>36.189300000000003</v>
      </c>
      <c r="F975" s="159">
        <f t="shared" ca="1" si="45"/>
        <v>0</v>
      </c>
      <c r="G975" s="160" t="e">
        <f>IF(A975&lt;&gt;"",IF(AND(#REF!="Padrão",$H$4=#REF!),BDI!$B$17,IF(AND(#REF!="Padrão",$H$4=#REF!),BDI!$C$17,IF(AND(#REF!="Diferenciado",$H$4=#REF!),BDI!$G$17,IF(AND(#REF!="Diferenciado",$H$4=#REF!),BDI!$H$17,IF(#REF!="ZERO",0))))),"")</f>
        <v>#REF!</v>
      </c>
      <c r="H975" s="161" t="e">
        <f t="shared" ca="1" si="46"/>
        <v>#REF!</v>
      </c>
      <c r="I975" s="159" t="e">
        <f t="shared" ca="1" si="47"/>
        <v>#REF!</v>
      </c>
    </row>
    <row r="976" spans="1:9" ht="25.5" hidden="1" x14ac:dyDescent="0.25">
      <c r="A976" s="102" t="s">
        <v>1874</v>
      </c>
      <c r="B976" s="103" t="s">
        <v>4172</v>
      </c>
      <c r="C976" s="104" t="s">
        <v>189</v>
      </c>
      <c r="D976" s="104">
        <v>0</v>
      </c>
      <c r="E976" s="158">
        <f ca="1">OFFSET(INDEX(Composições!A:J,MATCH(Orçamentária!A976,Composições!A:A,0),10),2,0)</f>
        <v>52.105337782424996</v>
      </c>
      <c r="F976" s="159">
        <f t="shared" ca="1" si="45"/>
        <v>0</v>
      </c>
      <c r="G976" s="160" t="e">
        <f>IF(A976&lt;&gt;"",IF(AND(#REF!="Padrão",$H$4=#REF!),BDI!$B$17,IF(AND(#REF!="Padrão",$H$4=#REF!),BDI!$C$17,IF(AND(#REF!="Diferenciado",$H$4=#REF!),BDI!$G$17,IF(AND(#REF!="Diferenciado",$H$4=#REF!),BDI!$H$17,IF(#REF!="ZERO",0))))),"")</f>
        <v>#REF!</v>
      </c>
      <c r="H976" s="161" t="e">
        <f t="shared" ca="1" si="46"/>
        <v>#REF!</v>
      </c>
      <c r="I976" s="159" t="e">
        <f t="shared" ca="1" si="47"/>
        <v>#REF!</v>
      </c>
    </row>
    <row r="977" spans="1:9" hidden="1" x14ac:dyDescent="0.25">
      <c r="A977" s="102" t="s">
        <v>1875</v>
      </c>
      <c r="B977" s="103" t="s">
        <v>4173</v>
      </c>
      <c r="C977" s="104" t="s">
        <v>189</v>
      </c>
      <c r="D977" s="104">
        <v>0</v>
      </c>
      <c r="E977" s="158">
        <f ca="1">OFFSET(INDEX(Composições!A:J,MATCH(Orçamentária!A977,Composições!A:A,0),10),2,0)</f>
        <v>9.7194499999999984</v>
      </c>
      <c r="F977" s="159">
        <f t="shared" ca="1" si="45"/>
        <v>0</v>
      </c>
      <c r="G977" s="160" t="e">
        <f>IF(A977&lt;&gt;"",IF(AND(#REF!="Padrão",$H$4=#REF!),BDI!$B$17,IF(AND(#REF!="Padrão",$H$4=#REF!),BDI!$C$17,IF(AND(#REF!="Diferenciado",$H$4=#REF!),BDI!$G$17,IF(AND(#REF!="Diferenciado",$H$4=#REF!),BDI!$H$17,IF(#REF!="ZERO",0))))),"")</f>
        <v>#REF!</v>
      </c>
      <c r="H977" s="161" t="e">
        <f t="shared" ca="1" si="46"/>
        <v>#REF!</v>
      </c>
      <c r="I977" s="159" t="e">
        <f t="shared" ca="1" si="47"/>
        <v>#REF!</v>
      </c>
    </row>
    <row r="978" spans="1:9" hidden="1" x14ac:dyDescent="0.25">
      <c r="A978" s="102" t="s">
        <v>1881</v>
      </c>
      <c r="B978" s="103" t="s">
        <v>4174</v>
      </c>
      <c r="C978" s="104" t="s">
        <v>184</v>
      </c>
      <c r="D978" s="104">
        <v>0</v>
      </c>
      <c r="E978" s="158">
        <f ca="1">OFFSET(INDEX(Composições!A:J,MATCH(Orçamentária!A978,Composições!A:A,0),10),2,0)</f>
        <v>15.386199999999999</v>
      </c>
      <c r="F978" s="159">
        <f t="shared" ca="1" si="45"/>
        <v>0</v>
      </c>
      <c r="G978" s="160" t="e">
        <f>IF(A978&lt;&gt;"",IF(AND(#REF!="Padrão",$H$4=#REF!),BDI!$B$17,IF(AND(#REF!="Padrão",$H$4=#REF!),BDI!$C$17,IF(AND(#REF!="Diferenciado",$H$4=#REF!),BDI!$G$17,IF(AND(#REF!="Diferenciado",$H$4=#REF!),BDI!$H$17,IF(#REF!="ZERO",0))))),"")</f>
        <v>#REF!</v>
      </c>
      <c r="H978" s="161" t="e">
        <f t="shared" ca="1" si="46"/>
        <v>#REF!</v>
      </c>
      <c r="I978" s="159" t="e">
        <f t="shared" ca="1" si="47"/>
        <v>#REF!</v>
      </c>
    </row>
    <row r="979" spans="1:9" hidden="1" x14ac:dyDescent="0.25">
      <c r="A979" s="102" t="s">
        <v>1885</v>
      </c>
      <c r="B979" s="103" t="s">
        <v>4175</v>
      </c>
      <c r="C979" s="104" t="s">
        <v>189</v>
      </c>
      <c r="D979" s="104">
        <v>0</v>
      </c>
      <c r="E979" s="158">
        <f ca="1">OFFSET(INDEX(Composições!A:J,MATCH(Orçamentária!A979,Composições!A:A,0),10),2,0)</f>
        <v>82.486295999999996</v>
      </c>
      <c r="F979" s="159">
        <f t="shared" ca="1" si="45"/>
        <v>0</v>
      </c>
      <c r="G979" s="160" t="e">
        <f>IF(A979&lt;&gt;"",IF(AND(#REF!="Padrão",$H$4=#REF!),BDI!$B$17,IF(AND(#REF!="Padrão",$H$4=#REF!),BDI!$C$17,IF(AND(#REF!="Diferenciado",$H$4=#REF!),BDI!$G$17,IF(AND(#REF!="Diferenciado",$H$4=#REF!),BDI!$H$17,IF(#REF!="ZERO",0))))),"")</f>
        <v>#REF!</v>
      </c>
      <c r="H979" s="161" t="e">
        <f t="shared" ca="1" si="46"/>
        <v>#REF!</v>
      </c>
      <c r="I979" s="159" t="e">
        <f t="shared" ca="1" si="47"/>
        <v>#REF!</v>
      </c>
    </row>
    <row r="980" spans="1:9" ht="25.5" hidden="1" x14ac:dyDescent="0.25">
      <c r="A980" s="102" t="s">
        <v>1887</v>
      </c>
      <c r="B980" s="103" t="s">
        <v>4176</v>
      </c>
      <c r="C980" s="104" t="s">
        <v>32</v>
      </c>
      <c r="D980" s="104">
        <v>0</v>
      </c>
      <c r="E980" s="158">
        <f ca="1">OFFSET(INDEX(Composições!A:J,MATCH(Orçamentária!A980,Composições!A:A,0),10),2,0)</f>
        <v>0.825075</v>
      </c>
      <c r="F980" s="159">
        <f t="shared" ca="1" si="45"/>
        <v>0</v>
      </c>
      <c r="G980" s="160" t="e">
        <f>IF(A980&lt;&gt;"",IF(AND(#REF!="Padrão",$H$4=#REF!),BDI!$B$17,IF(AND(#REF!="Padrão",$H$4=#REF!),BDI!$C$17,IF(AND(#REF!="Diferenciado",$H$4=#REF!),BDI!$G$17,IF(AND(#REF!="Diferenciado",$H$4=#REF!),BDI!$H$17,IF(#REF!="ZERO",0))))),"")</f>
        <v>#REF!</v>
      </c>
      <c r="H980" s="161" t="e">
        <f t="shared" ca="1" si="46"/>
        <v>#REF!</v>
      </c>
      <c r="I980" s="159" t="e">
        <f t="shared" ca="1" si="47"/>
        <v>#REF!</v>
      </c>
    </row>
    <row r="981" spans="1:9" hidden="1" x14ac:dyDescent="0.25">
      <c r="A981" s="102" t="s">
        <v>1892</v>
      </c>
      <c r="B981" s="103" t="s">
        <v>4177</v>
      </c>
      <c r="C981" s="104" t="s">
        <v>189</v>
      </c>
      <c r="D981" s="104">
        <v>0</v>
      </c>
      <c r="E981" s="158">
        <f ca="1">OFFSET(INDEX(Composições!A:J,MATCH(Orçamentária!A981,Composições!A:A,0),10),2,0)</f>
        <v>4.7323395000000001</v>
      </c>
      <c r="F981" s="159">
        <f t="shared" ca="1" si="45"/>
        <v>0</v>
      </c>
      <c r="G981" s="160" t="e">
        <f>IF(A981&lt;&gt;"",IF(AND(#REF!="Padrão",$H$4=#REF!),BDI!$B$17,IF(AND(#REF!="Padrão",$H$4=#REF!),BDI!$C$17,IF(AND(#REF!="Diferenciado",$H$4=#REF!),BDI!$G$17,IF(AND(#REF!="Diferenciado",$H$4=#REF!),BDI!$H$17,IF(#REF!="ZERO",0))))),"")</f>
        <v>#REF!</v>
      </c>
      <c r="H981" s="161" t="e">
        <f t="shared" ca="1" si="46"/>
        <v>#REF!</v>
      </c>
      <c r="I981" s="159" t="e">
        <f t="shared" ca="1" si="47"/>
        <v>#REF!</v>
      </c>
    </row>
    <row r="982" spans="1:9" hidden="1" x14ac:dyDescent="0.25">
      <c r="A982" s="102" t="s">
        <v>1895</v>
      </c>
      <c r="B982" s="103" t="s">
        <v>4178</v>
      </c>
      <c r="C982" s="104" t="s">
        <v>184</v>
      </c>
      <c r="D982" s="104">
        <v>0</v>
      </c>
      <c r="E982" s="158">
        <f ca="1">OFFSET(INDEX(Composições!A:J,MATCH(Orçamentária!A982,Composições!A:A,0),10),2,0)</f>
        <v>18.263078350000001</v>
      </c>
      <c r="F982" s="159">
        <f t="shared" ca="1" si="45"/>
        <v>0</v>
      </c>
      <c r="G982" s="160" t="e">
        <f>IF(A982&lt;&gt;"",IF(AND(#REF!="Padrão",$H$4=#REF!),BDI!$B$17,IF(AND(#REF!="Padrão",$H$4=#REF!),BDI!$C$17,IF(AND(#REF!="Diferenciado",$H$4=#REF!),BDI!$G$17,IF(AND(#REF!="Diferenciado",$H$4=#REF!),BDI!$H$17,IF(#REF!="ZERO",0))))),"")</f>
        <v>#REF!</v>
      </c>
      <c r="H982" s="161" t="e">
        <f t="shared" ca="1" si="46"/>
        <v>#REF!</v>
      </c>
      <c r="I982" s="159" t="e">
        <f t="shared" ca="1" si="47"/>
        <v>#REF!</v>
      </c>
    </row>
    <row r="983" spans="1:9" hidden="1" x14ac:dyDescent="0.25">
      <c r="A983" s="102" t="s">
        <v>1905</v>
      </c>
      <c r="B983" s="103" t="s">
        <v>4179</v>
      </c>
      <c r="C983" s="104" t="s">
        <v>184</v>
      </c>
      <c r="D983" s="104">
        <v>0</v>
      </c>
      <c r="E983" s="158">
        <f ca="1">OFFSET(INDEX(Composições!A:J,MATCH(Orçamentária!A983,Composições!A:A,0),10),2,0)</f>
        <v>11.8303823</v>
      </c>
      <c r="F983" s="159">
        <f t="shared" ca="1" si="45"/>
        <v>0</v>
      </c>
      <c r="G983" s="160" t="e">
        <f>IF(A983&lt;&gt;"",IF(AND(#REF!="Padrão",$H$4=#REF!),BDI!$B$17,IF(AND(#REF!="Padrão",$H$4=#REF!),BDI!$C$17,IF(AND(#REF!="Diferenciado",$H$4=#REF!),BDI!$G$17,IF(AND(#REF!="Diferenciado",$H$4=#REF!),BDI!$H$17,IF(#REF!="ZERO",0))))),"")</f>
        <v>#REF!</v>
      </c>
      <c r="H983" s="161" t="e">
        <f t="shared" ca="1" si="46"/>
        <v>#REF!</v>
      </c>
      <c r="I983" s="159" t="e">
        <f t="shared" ca="1" si="47"/>
        <v>#REF!</v>
      </c>
    </row>
    <row r="984" spans="1:9" hidden="1" x14ac:dyDescent="0.25">
      <c r="A984" s="102" t="s">
        <v>4180</v>
      </c>
      <c r="B984" s="103" t="s">
        <v>4181</v>
      </c>
      <c r="C984" s="104" t="s">
        <v>32</v>
      </c>
      <c r="D984" s="104">
        <v>0</v>
      </c>
      <c r="E984" s="158" t="s">
        <v>1079</v>
      </c>
      <c r="F984" s="159" t="str">
        <f t="shared" si="45"/>
        <v/>
      </c>
      <c r="G984" s="160" t="e">
        <f>IF(A984&lt;&gt;"",IF(AND(#REF!="Padrão",$H$4=#REF!),BDI!$B$17,IF(AND(#REF!="Padrão",$H$4=#REF!),BDI!$C$17,IF(AND(#REF!="Diferenciado",$H$4=#REF!),BDI!$G$17,IF(AND(#REF!="Diferenciado",$H$4=#REF!),BDI!$H$17,IF(#REF!="ZERO",0))))),"")</f>
        <v>#REF!</v>
      </c>
      <c r="H984" s="161" t="str">
        <f t="shared" si="46"/>
        <v/>
      </c>
      <c r="I984" s="159" t="str">
        <f t="shared" si="47"/>
        <v/>
      </c>
    </row>
    <row r="985" spans="1:9" hidden="1" x14ac:dyDescent="0.25">
      <c r="A985" s="102" t="s">
        <v>1907</v>
      </c>
      <c r="B985" s="103" t="s">
        <v>4182</v>
      </c>
      <c r="C985" s="104" t="s">
        <v>32</v>
      </c>
      <c r="D985" s="104">
        <v>0</v>
      </c>
      <c r="E985" s="158">
        <f ca="1">OFFSET(INDEX(Composições!A:J,MATCH(Orçamentária!A985,Composições!A:A,0),10),2,0)</f>
        <v>59.250737149999999</v>
      </c>
      <c r="F985" s="159">
        <f t="shared" ca="1" si="45"/>
        <v>0</v>
      </c>
      <c r="G985" s="160" t="e">
        <f>IF(A985&lt;&gt;"",IF(AND(#REF!="Padrão",$H$4=#REF!),BDI!$B$17,IF(AND(#REF!="Padrão",$H$4=#REF!),BDI!$C$17,IF(AND(#REF!="Diferenciado",$H$4=#REF!),BDI!$G$17,IF(AND(#REF!="Diferenciado",$H$4=#REF!),BDI!$H$17,IF(#REF!="ZERO",0))))),"")</f>
        <v>#REF!</v>
      </c>
      <c r="H985" s="161" t="e">
        <f t="shared" ca="1" si="46"/>
        <v>#REF!</v>
      </c>
      <c r="I985" s="159" t="e">
        <f t="shared" ca="1" si="47"/>
        <v>#REF!</v>
      </c>
    </row>
    <row r="986" spans="1:9" hidden="1" x14ac:dyDescent="0.25">
      <c r="A986" s="102" t="s">
        <v>1912</v>
      </c>
      <c r="B986" s="103" t="s">
        <v>4183</v>
      </c>
      <c r="C986" s="104" t="s">
        <v>4184</v>
      </c>
      <c r="D986" s="104">
        <v>0</v>
      </c>
      <c r="E986" s="158">
        <f ca="1">OFFSET(INDEX(Composições!A:J,MATCH(Orçamentária!A986,Composições!A:A,0),10),2,0)</f>
        <v>402.21298759000001</v>
      </c>
      <c r="F986" s="159">
        <f t="shared" ca="1" si="45"/>
        <v>0</v>
      </c>
      <c r="G986" s="160" t="e">
        <f>IF(A986&lt;&gt;"",IF(AND(#REF!="Padrão",$H$4=#REF!),BDI!$B$17,IF(AND(#REF!="Padrão",$H$4=#REF!),BDI!$C$17,IF(AND(#REF!="Diferenciado",$H$4=#REF!),BDI!$G$17,IF(AND(#REF!="Diferenciado",$H$4=#REF!),BDI!$H$17,IF(#REF!="ZERO",0))))),"")</f>
        <v>#REF!</v>
      </c>
      <c r="H986" s="161" t="e">
        <f t="shared" ca="1" si="46"/>
        <v>#REF!</v>
      </c>
      <c r="I986" s="159" t="e">
        <f t="shared" ca="1" si="47"/>
        <v>#REF!</v>
      </c>
    </row>
    <row r="987" spans="1:9" hidden="1" x14ac:dyDescent="0.25">
      <c r="A987" s="102" t="s">
        <v>1917</v>
      </c>
      <c r="B987" s="103" t="s">
        <v>4185</v>
      </c>
      <c r="C987" s="104" t="s">
        <v>189</v>
      </c>
      <c r="D987" s="104">
        <v>0</v>
      </c>
      <c r="E987" s="158">
        <f ca="1">OFFSET(INDEX(Composições!A:J,MATCH(Orçamentária!A987,Composições!A:A,0),10),2,0)</f>
        <v>77.312906718399987</v>
      </c>
      <c r="F987" s="159">
        <f t="shared" ca="1" si="45"/>
        <v>0</v>
      </c>
      <c r="G987" s="160" t="e">
        <f>IF(A987&lt;&gt;"",IF(AND(#REF!="Padrão",$H$4=#REF!),BDI!$B$17,IF(AND(#REF!="Padrão",$H$4=#REF!),BDI!$C$17,IF(AND(#REF!="Diferenciado",$H$4=#REF!),BDI!$G$17,IF(AND(#REF!="Diferenciado",$H$4=#REF!),BDI!$H$17,IF(#REF!="ZERO",0))))),"")</f>
        <v>#REF!</v>
      </c>
      <c r="H987" s="161" t="e">
        <f t="shared" ca="1" si="46"/>
        <v>#REF!</v>
      </c>
      <c r="I987" s="159" t="e">
        <f t="shared" ca="1" si="47"/>
        <v>#REF!</v>
      </c>
    </row>
    <row r="988" spans="1:9" hidden="1" x14ac:dyDescent="0.25">
      <c r="A988" s="102" t="s">
        <v>1926</v>
      </c>
      <c r="B988" s="103" t="s">
        <v>4186</v>
      </c>
      <c r="C988" s="104" t="s">
        <v>32</v>
      </c>
      <c r="D988" s="104">
        <v>0</v>
      </c>
      <c r="E988" s="158">
        <f ca="1">OFFSET(INDEX(Composições!A:J,MATCH(Orçamentária!A988,Composições!A:A,0),10),2,0)</f>
        <v>132.27799999999999</v>
      </c>
      <c r="F988" s="159">
        <f t="shared" ca="1" si="45"/>
        <v>0</v>
      </c>
      <c r="G988" s="160" t="e">
        <f>IF(A988&lt;&gt;"",IF(AND(#REF!="Padrão",$H$4=#REF!),BDI!$B$17,IF(AND(#REF!="Padrão",$H$4=#REF!),BDI!$C$17,IF(AND(#REF!="Diferenciado",$H$4=#REF!),BDI!$G$17,IF(AND(#REF!="Diferenciado",$H$4=#REF!),BDI!$H$17,IF(#REF!="ZERO",0))))),"")</f>
        <v>#REF!</v>
      </c>
      <c r="H988" s="161" t="e">
        <f t="shared" ca="1" si="46"/>
        <v>#REF!</v>
      </c>
      <c r="I988" s="159" t="e">
        <f t="shared" ca="1" si="47"/>
        <v>#REF!</v>
      </c>
    </row>
    <row r="989" spans="1:9" hidden="1" x14ac:dyDescent="0.25">
      <c r="A989" s="102" t="s">
        <v>1929</v>
      </c>
      <c r="B989" s="103" t="s">
        <v>4187</v>
      </c>
      <c r="C989" s="104" t="s">
        <v>4188</v>
      </c>
      <c r="D989" s="104">
        <v>0</v>
      </c>
      <c r="E989" s="158">
        <f ca="1">OFFSET(INDEX(Composições!A:J,MATCH(Orçamentária!A989,Composições!A:A,0),10),2,0)</f>
        <v>1.0354733999999999</v>
      </c>
      <c r="F989" s="159">
        <f t="shared" ca="1" si="45"/>
        <v>0</v>
      </c>
      <c r="G989" s="160" t="e">
        <f>IF(A989&lt;&gt;"",IF(AND(#REF!="Padrão",$H$4=#REF!),BDI!$B$17,IF(AND(#REF!="Padrão",$H$4=#REF!),BDI!$C$17,IF(AND(#REF!="Diferenciado",$H$4=#REF!),BDI!$G$17,IF(AND(#REF!="Diferenciado",$H$4=#REF!),BDI!$H$17,IF(#REF!="ZERO",0))))),"")</f>
        <v>#REF!</v>
      </c>
      <c r="H989" s="161" t="e">
        <f t="shared" ca="1" si="46"/>
        <v>#REF!</v>
      </c>
      <c r="I989" s="159" t="e">
        <f t="shared" ca="1" si="47"/>
        <v>#REF!</v>
      </c>
    </row>
    <row r="990" spans="1:9" hidden="1" x14ac:dyDescent="0.25">
      <c r="A990" s="102" t="s">
        <v>4189</v>
      </c>
      <c r="B990" s="103" t="s">
        <v>4190</v>
      </c>
      <c r="C990" s="104" t="s">
        <v>3989</v>
      </c>
      <c r="D990" s="104">
        <v>0</v>
      </c>
      <c r="E990" s="158" t="s">
        <v>1079</v>
      </c>
      <c r="F990" s="159" t="str">
        <f t="shared" si="45"/>
        <v/>
      </c>
      <c r="G990" s="160" t="e">
        <f>IF(A990&lt;&gt;"",IF(AND(#REF!="Padrão",$H$4=#REF!),BDI!$B$17,IF(AND(#REF!="Padrão",$H$4=#REF!),BDI!$C$17,IF(AND(#REF!="Diferenciado",$H$4=#REF!),BDI!$G$17,IF(AND(#REF!="Diferenciado",$H$4=#REF!),BDI!$H$17,IF(#REF!="ZERO",0))))),"")</f>
        <v>#REF!</v>
      </c>
      <c r="H990" s="161" t="str">
        <f t="shared" si="46"/>
        <v/>
      </c>
      <c r="I990" s="159" t="str">
        <f t="shared" si="47"/>
        <v/>
      </c>
    </row>
    <row r="991" spans="1:9" hidden="1" x14ac:dyDescent="0.25">
      <c r="A991" s="102" t="s">
        <v>1934</v>
      </c>
      <c r="B991" s="103" t="s">
        <v>4191</v>
      </c>
      <c r="C991" s="104" t="s">
        <v>4192</v>
      </c>
      <c r="D991" s="104">
        <v>0</v>
      </c>
      <c r="E991" s="158">
        <f ca="1">OFFSET(INDEX(Composições!A:J,MATCH(Orçamentária!A991,Composições!A:A,0),10),2,0)</f>
        <v>2.553372</v>
      </c>
      <c r="F991" s="159">
        <f t="shared" ca="1" si="45"/>
        <v>0</v>
      </c>
      <c r="G991" s="160" t="e">
        <f>IF(A991&lt;&gt;"",IF(AND(#REF!="Padrão",$H$4=#REF!),BDI!$B$17,IF(AND(#REF!="Padrão",$H$4=#REF!),BDI!$C$17,IF(AND(#REF!="Diferenciado",$H$4=#REF!),BDI!$G$17,IF(AND(#REF!="Diferenciado",$H$4=#REF!),BDI!$H$17,IF(#REF!="ZERO",0))))),"")</f>
        <v>#REF!</v>
      </c>
      <c r="H991" s="161" t="e">
        <f t="shared" ca="1" si="46"/>
        <v>#REF!</v>
      </c>
      <c r="I991" s="198" t="e">
        <f t="shared" ca="1" si="47"/>
        <v>#REF!</v>
      </c>
    </row>
    <row r="992" spans="1:9" x14ac:dyDescent="0.25">
      <c r="A992" s="204" t="s">
        <v>1941</v>
      </c>
      <c r="B992" s="205" t="s">
        <v>4193</v>
      </c>
      <c r="C992" s="206" t="s">
        <v>4184</v>
      </c>
      <c r="D992" s="206">
        <v>47.19</v>
      </c>
      <c r="E992" s="158">
        <f ca="1">OFFSET(INDEX(Composições!A:J,MATCH(Orçamentária!A992,Composições!A:A,0),10),2,0)</f>
        <v>61.60179999999999</v>
      </c>
      <c r="F992" s="159">
        <f t="shared" ca="1" si="45"/>
        <v>2906.9889419999995</v>
      </c>
      <c r="G992" s="160">
        <f>BDI!$C$17</f>
        <v>0.24479999999999999</v>
      </c>
      <c r="H992" s="161">
        <f t="shared" ca="1" si="46"/>
        <v>76.680000000000007</v>
      </c>
      <c r="I992" s="202">
        <f t="shared" ca="1" si="47"/>
        <v>3618.53</v>
      </c>
    </row>
    <row r="993" spans="1:9" hidden="1" x14ac:dyDescent="0.25">
      <c r="A993" s="102" t="s">
        <v>1944</v>
      </c>
      <c r="B993" s="103" t="s">
        <v>4194</v>
      </c>
      <c r="C993" s="104" t="s">
        <v>4184</v>
      </c>
      <c r="D993" s="104">
        <v>0</v>
      </c>
      <c r="E993" s="158">
        <f ca="1">OFFSET(INDEX(Composições!A:J,MATCH(Orçamentária!A993,Composições!A:A,0),10),2,0)</f>
        <v>1.6748424000000002</v>
      </c>
      <c r="F993" s="159">
        <f t="shared" ca="1" si="45"/>
        <v>0</v>
      </c>
      <c r="G993" s="160" t="e">
        <f>IF(A993&lt;&gt;"",IF(AND(#REF!="Padrão",$H$4=#REF!),BDI!$B$17,IF(AND(#REF!="Padrão",$H$4=#REF!),BDI!$C$17,IF(AND(#REF!="Diferenciado",$H$4=#REF!),BDI!$G$17,IF(AND(#REF!="Diferenciado",$H$4=#REF!),BDI!$H$17,IF(#REF!="ZERO",0))))),"")</f>
        <v>#REF!</v>
      </c>
      <c r="H993" s="161" t="e">
        <f t="shared" ca="1" si="46"/>
        <v>#REF!</v>
      </c>
      <c r="I993" s="159" t="e">
        <f t="shared" ca="1" si="47"/>
        <v>#REF!</v>
      </c>
    </row>
    <row r="994" spans="1:9" hidden="1" x14ac:dyDescent="0.25">
      <c r="A994" s="102" t="s">
        <v>1948</v>
      </c>
      <c r="B994" s="103" t="s">
        <v>4195</v>
      </c>
      <c r="C994" s="104" t="s">
        <v>189</v>
      </c>
      <c r="D994" s="104">
        <v>0</v>
      </c>
      <c r="E994" s="158">
        <f ca="1">OFFSET(INDEX(Composições!A:J,MATCH(Orçamentária!A994,Composições!A:A,0),10),2,0)</f>
        <v>36.958038994710002</v>
      </c>
      <c r="F994" s="159">
        <f t="shared" ca="1" si="45"/>
        <v>0</v>
      </c>
      <c r="G994" s="160" t="e">
        <f>IF(A994&lt;&gt;"",IF(AND(#REF!="Padrão",$H$4=#REF!),BDI!$B$17,IF(AND(#REF!="Padrão",$H$4=#REF!),BDI!$C$17,IF(AND(#REF!="Diferenciado",$H$4=#REF!),BDI!$G$17,IF(AND(#REF!="Diferenciado",$H$4=#REF!),BDI!$H$17,IF(#REF!="ZERO",0))))),"")</f>
        <v>#REF!</v>
      </c>
      <c r="H994" s="161" t="e">
        <f t="shared" ca="1" si="46"/>
        <v>#REF!</v>
      </c>
      <c r="I994" s="159" t="e">
        <f t="shared" ca="1" si="47"/>
        <v>#REF!</v>
      </c>
    </row>
    <row r="995" spans="1:9" hidden="1" x14ac:dyDescent="0.25">
      <c r="A995" s="102" t="s">
        <v>1967</v>
      </c>
      <c r="B995" s="103" t="s">
        <v>4196</v>
      </c>
      <c r="C995" s="104" t="s">
        <v>184</v>
      </c>
      <c r="D995" s="104">
        <v>0</v>
      </c>
      <c r="E995" s="158">
        <f ca="1">OFFSET(INDEX(Composições!A:J,MATCH(Orçamentária!A995,Composições!A:A,0),10),2,0)</f>
        <v>4.0636981499999996</v>
      </c>
      <c r="F995" s="159">
        <f t="shared" ca="1" si="45"/>
        <v>0</v>
      </c>
      <c r="G995" s="160" t="e">
        <f>IF(A995&lt;&gt;"",IF(AND(#REF!="Padrão",$H$4=#REF!),BDI!$B$17,IF(AND(#REF!="Padrão",$H$4=#REF!),BDI!$C$17,IF(AND(#REF!="Diferenciado",$H$4=#REF!),BDI!$G$17,IF(AND(#REF!="Diferenciado",$H$4=#REF!),BDI!$H$17,IF(#REF!="ZERO",0))))),"")</f>
        <v>#REF!</v>
      </c>
      <c r="H995" s="161" t="e">
        <f t="shared" ca="1" si="46"/>
        <v>#REF!</v>
      </c>
      <c r="I995" s="159" t="e">
        <f t="shared" ca="1" si="47"/>
        <v>#REF!</v>
      </c>
    </row>
    <row r="996" spans="1:9" hidden="1" x14ac:dyDescent="0.25">
      <c r="A996" s="102" t="s">
        <v>1974</v>
      </c>
      <c r="B996" s="103" t="s">
        <v>4197</v>
      </c>
      <c r="C996" s="104" t="s">
        <v>184</v>
      </c>
      <c r="D996" s="104">
        <v>0</v>
      </c>
      <c r="E996" s="158">
        <f ca="1">OFFSET(INDEX(Composições!A:J,MATCH(Orçamentária!A996,Composições!A:A,0),10),2,0)</f>
        <v>32.515415940899992</v>
      </c>
      <c r="F996" s="159">
        <f t="shared" ca="1" si="45"/>
        <v>0</v>
      </c>
      <c r="G996" s="160" t="e">
        <f>IF(A996&lt;&gt;"",IF(AND(#REF!="Padrão",$H$4=#REF!),BDI!$B$17,IF(AND(#REF!="Padrão",$H$4=#REF!),BDI!$C$17,IF(AND(#REF!="Diferenciado",$H$4=#REF!),BDI!$G$17,IF(AND(#REF!="Diferenciado",$H$4=#REF!),BDI!$H$17,IF(#REF!="ZERO",0))))),"")</f>
        <v>#REF!</v>
      </c>
      <c r="H996" s="161" t="e">
        <f t="shared" ca="1" si="46"/>
        <v>#REF!</v>
      </c>
      <c r="I996" s="159" t="e">
        <f t="shared" ca="1" si="47"/>
        <v>#REF!</v>
      </c>
    </row>
    <row r="997" spans="1:9" hidden="1" x14ac:dyDescent="0.25">
      <c r="A997" s="102" t="s">
        <v>1980</v>
      </c>
      <c r="B997" s="103" t="s">
        <v>4198</v>
      </c>
      <c r="C997" s="104" t="s">
        <v>184</v>
      </c>
      <c r="D997" s="104">
        <v>0</v>
      </c>
      <c r="E997" s="158">
        <f ca="1">OFFSET(INDEX(Composições!A:J,MATCH(Orçamentária!A997,Composições!A:A,0),10),2,0)</f>
        <v>23.546098488499997</v>
      </c>
      <c r="F997" s="159">
        <f t="shared" ca="1" si="45"/>
        <v>0</v>
      </c>
      <c r="G997" s="160" t="e">
        <f>IF(A997&lt;&gt;"",IF(AND(#REF!="Padrão",$H$4=#REF!),BDI!$B$17,IF(AND(#REF!="Padrão",$H$4=#REF!),BDI!$C$17,IF(AND(#REF!="Diferenciado",$H$4=#REF!),BDI!$G$17,IF(AND(#REF!="Diferenciado",$H$4=#REF!),BDI!$H$17,IF(#REF!="ZERO",0))))),"")</f>
        <v>#REF!</v>
      </c>
      <c r="H997" s="161" t="e">
        <f t="shared" ca="1" si="46"/>
        <v>#REF!</v>
      </c>
      <c r="I997" s="159" t="e">
        <f t="shared" ca="1" si="47"/>
        <v>#REF!</v>
      </c>
    </row>
    <row r="998" spans="1:9" hidden="1" x14ac:dyDescent="0.25">
      <c r="A998" s="102" t="s">
        <v>4199</v>
      </c>
      <c r="B998" s="103" t="s">
        <v>4200</v>
      </c>
      <c r="C998" s="104" t="s">
        <v>189</v>
      </c>
      <c r="D998" s="104">
        <v>0</v>
      </c>
      <c r="E998" s="158" t="s">
        <v>1079</v>
      </c>
      <c r="F998" s="159" t="str">
        <f t="shared" si="45"/>
        <v/>
      </c>
      <c r="G998" s="160" t="e">
        <f>IF(A998&lt;&gt;"",IF(AND(#REF!="Padrão",$H$4=#REF!),BDI!$B$17,IF(AND(#REF!="Padrão",$H$4=#REF!),BDI!$C$17,IF(AND(#REF!="Diferenciado",$H$4=#REF!),BDI!$G$17,IF(AND(#REF!="Diferenciado",$H$4=#REF!),BDI!$H$17,IF(#REF!="ZERO",0))))),"")</f>
        <v>#REF!</v>
      </c>
      <c r="H998" s="161" t="str">
        <f t="shared" si="46"/>
        <v/>
      </c>
      <c r="I998" s="159" t="str">
        <f t="shared" si="47"/>
        <v/>
      </c>
    </row>
    <row r="999" spans="1:9" hidden="1" x14ac:dyDescent="0.25">
      <c r="A999" s="102" t="s">
        <v>1991</v>
      </c>
      <c r="B999" s="103" t="s">
        <v>4201</v>
      </c>
      <c r="C999" s="104" t="s">
        <v>32</v>
      </c>
      <c r="D999" s="104">
        <v>0</v>
      </c>
      <c r="E999" s="158">
        <f ca="1">OFFSET(INDEX(Composições!A:J,MATCH(Orçamentária!A999,Composições!A:A,0),10),2,0)</f>
        <v>6.8275511296999998</v>
      </c>
      <c r="F999" s="159">
        <f t="shared" ca="1" si="45"/>
        <v>0</v>
      </c>
      <c r="G999" s="160" t="e">
        <f>IF(A999&lt;&gt;"",IF(AND(#REF!="Padrão",$H$4=#REF!),BDI!$B$17,IF(AND(#REF!="Padrão",$H$4=#REF!),BDI!$C$17,IF(AND(#REF!="Diferenciado",$H$4=#REF!),BDI!$G$17,IF(AND(#REF!="Diferenciado",$H$4=#REF!),BDI!$H$17,IF(#REF!="ZERO",0))))),"")</f>
        <v>#REF!</v>
      </c>
      <c r="H999" s="161" t="e">
        <f t="shared" ca="1" si="46"/>
        <v>#REF!</v>
      </c>
      <c r="I999" s="159" t="e">
        <f t="shared" ca="1" si="47"/>
        <v>#REF!</v>
      </c>
    </row>
    <row r="1000" spans="1:9" hidden="1" x14ac:dyDescent="0.25">
      <c r="A1000" s="102" t="s">
        <v>4202</v>
      </c>
      <c r="B1000" s="103" t="s">
        <v>4203</v>
      </c>
      <c r="C1000" s="104" t="s">
        <v>32</v>
      </c>
      <c r="D1000" s="104">
        <v>0</v>
      </c>
      <c r="E1000" s="158" t="s">
        <v>1079</v>
      </c>
      <c r="F1000" s="159" t="str">
        <f t="shared" si="45"/>
        <v/>
      </c>
      <c r="G1000" s="160" t="e">
        <f>IF(A1000&lt;&gt;"",IF(AND(#REF!="Padrão",$H$4=#REF!),BDI!$B$17,IF(AND(#REF!="Padrão",$H$4=#REF!),BDI!$C$17,IF(AND(#REF!="Diferenciado",$H$4=#REF!),BDI!$G$17,IF(AND(#REF!="Diferenciado",$H$4=#REF!),BDI!$H$17,IF(#REF!="ZERO",0))))),"")</f>
        <v>#REF!</v>
      </c>
      <c r="H1000" s="161" t="str">
        <f t="shared" si="46"/>
        <v/>
      </c>
      <c r="I1000" s="159" t="str">
        <f t="shared" si="47"/>
        <v/>
      </c>
    </row>
    <row r="1001" spans="1:9" hidden="1" x14ac:dyDescent="0.25">
      <c r="A1001" s="102" t="s">
        <v>4204</v>
      </c>
      <c r="B1001" s="103" t="s">
        <v>4205</v>
      </c>
      <c r="C1001" s="104" t="s">
        <v>32</v>
      </c>
      <c r="D1001" s="104">
        <v>0</v>
      </c>
      <c r="E1001" s="158" t="s">
        <v>1079</v>
      </c>
      <c r="F1001" s="159" t="str">
        <f t="shared" si="45"/>
        <v/>
      </c>
      <c r="G1001" s="160" t="e">
        <f>IF(A1001&lt;&gt;"",IF(AND(#REF!="Padrão",$H$4=#REF!),BDI!$B$17,IF(AND(#REF!="Padrão",$H$4=#REF!),BDI!$C$17,IF(AND(#REF!="Diferenciado",$H$4=#REF!),BDI!$G$17,IF(AND(#REF!="Diferenciado",$H$4=#REF!),BDI!$H$17,IF(#REF!="ZERO",0))))),"")</f>
        <v>#REF!</v>
      </c>
      <c r="H1001" s="161" t="str">
        <f t="shared" si="46"/>
        <v/>
      </c>
      <c r="I1001" s="159" t="str">
        <f t="shared" si="47"/>
        <v/>
      </c>
    </row>
    <row r="1002" spans="1:9" hidden="1" x14ac:dyDescent="0.25">
      <c r="A1002" s="102" t="s">
        <v>4206</v>
      </c>
      <c r="B1002" s="103" t="s">
        <v>4207</v>
      </c>
      <c r="C1002" s="104" t="s">
        <v>32</v>
      </c>
      <c r="D1002" s="104">
        <v>0</v>
      </c>
      <c r="E1002" s="158" t="s">
        <v>1079</v>
      </c>
      <c r="F1002" s="159" t="str">
        <f t="shared" si="45"/>
        <v/>
      </c>
      <c r="G1002" s="160" t="e">
        <f>IF(A1002&lt;&gt;"",IF(AND(#REF!="Padrão",$H$4=#REF!),BDI!$B$17,IF(AND(#REF!="Padrão",$H$4=#REF!),BDI!$C$17,IF(AND(#REF!="Diferenciado",$H$4=#REF!),BDI!$G$17,IF(AND(#REF!="Diferenciado",$H$4=#REF!),BDI!$H$17,IF(#REF!="ZERO",0))))),"")</f>
        <v>#REF!</v>
      </c>
      <c r="H1002" s="161" t="str">
        <f t="shared" si="46"/>
        <v/>
      </c>
      <c r="I1002" s="159" t="str">
        <f t="shared" si="47"/>
        <v/>
      </c>
    </row>
    <row r="1003" spans="1:9" hidden="1" x14ac:dyDescent="0.25">
      <c r="A1003" s="102" t="s">
        <v>4208</v>
      </c>
      <c r="B1003" s="103" t="s">
        <v>4209</v>
      </c>
      <c r="C1003" s="104" t="s">
        <v>4210</v>
      </c>
      <c r="D1003" s="104">
        <v>0</v>
      </c>
      <c r="E1003" s="158" t="s">
        <v>1079</v>
      </c>
      <c r="F1003" s="159" t="str">
        <f t="shared" si="45"/>
        <v/>
      </c>
      <c r="G1003" s="160" t="e">
        <f>IF(A1003&lt;&gt;"",IF(AND(#REF!="Padrão",$H$4=#REF!),BDI!$B$17,IF(AND(#REF!="Padrão",$H$4=#REF!),BDI!$C$17,IF(AND(#REF!="Diferenciado",$H$4=#REF!),BDI!$G$17,IF(AND(#REF!="Diferenciado",$H$4=#REF!),BDI!$H$17,IF(#REF!="ZERO",0))))),"")</f>
        <v>#REF!</v>
      </c>
      <c r="H1003" s="161" t="str">
        <f t="shared" si="46"/>
        <v/>
      </c>
      <c r="I1003" s="159" t="str">
        <f t="shared" si="47"/>
        <v/>
      </c>
    </row>
    <row r="1004" spans="1:9" hidden="1" x14ac:dyDescent="0.25">
      <c r="A1004" s="102" t="s">
        <v>4211</v>
      </c>
      <c r="B1004" s="103" t="s">
        <v>4212</v>
      </c>
      <c r="C1004" s="104" t="s">
        <v>32</v>
      </c>
      <c r="D1004" s="104">
        <v>0</v>
      </c>
      <c r="E1004" s="158" t="s">
        <v>1079</v>
      </c>
      <c r="F1004" s="159" t="str">
        <f t="shared" si="45"/>
        <v/>
      </c>
      <c r="G1004" s="160" t="e">
        <f>IF(A1004&lt;&gt;"",IF(AND(#REF!="Padrão",$H$4=#REF!),BDI!$B$17,IF(AND(#REF!="Padrão",$H$4=#REF!),BDI!$C$17,IF(AND(#REF!="Diferenciado",$H$4=#REF!),BDI!$G$17,IF(AND(#REF!="Diferenciado",$H$4=#REF!),BDI!$H$17,IF(#REF!="ZERO",0))))),"")</f>
        <v>#REF!</v>
      </c>
      <c r="H1004" s="161" t="str">
        <f t="shared" si="46"/>
        <v/>
      </c>
      <c r="I1004" s="159" t="str">
        <f t="shared" si="47"/>
        <v/>
      </c>
    </row>
    <row r="1005" spans="1:9" hidden="1" x14ac:dyDescent="0.25">
      <c r="A1005" s="102" t="s">
        <v>4213</v>
      </c>
      <c r="B1005" s="103" t="s">
        <v>4214</v>
      </c>
      <c r="C1005" s="104" t="s">
        <v>184</v>
      </c>
      <c r="D1005" s="104">
        <v>0</v>
      </c>
      <c r="E1005" s="158" t="s">
        <v>1079</v>
      </c>
      <c r="F1005" s="159" t="str">
        <f t="shared" si="45"/>
        <v/>
      </c>
      <c r="G1005" s="160" t="e">
        <f>IF(A1005&lt;&gt;"",IF(AND(#REF!="Padrão",$H$4=#REF!),BDI!$B$17,IF(AND(#REF!="Padrão",$H$4=#REF!),BDI!$C$17,IF(AND(#REF!="Diferenciado",$H$4=#REF!),BDI!$G$17,IF(AND(#REF!="Diferenciado",$H$4=#REF!),BDI!$H$17,IF(#REF!="ZERO",0))))),"")</f>
        <v>#REF!</v>
      </c>
      <c r="H1005" s="161" t="str">
        <f t="shared" si="46"/>
        <v/>
      </c>
      <c r="I1005" s="159" t="str">
        <f t="shared" si="47"/>
        <v/>
      </c>
    </row>
    <row r="1006" spans="1:9" hidden="1" x14ac:dyDescent="0.25">
      <c r="A1006" s="102" t="s">
        <v>1993</v>
      </c>
      <c r="B1006" s="103" t="s">
        <v>4215</v>
      </c>
      <c r="C1006" s="104" t="s">
        <v>4216</v>
      </c>
      <c r="D1006" s="104">
        <v>0</v>
      </c>
      <c r="E1006" s="158">
        <f ca="1">OFFSET(INDEX(Composições!A:J,MATCH(Orçamentária!A1006,Composições!A:A,0),10),2,0)</f>
        <v>495.9</v>
      </c>
      <c r="F1006" s="159">
        <f t="shared" ca="1" si="45"/>
        <v>0</v>
      </c>
      <c r="G1006" s="160" t="e">
        <f>IF(A1006&lt;&gt;"",IF(AND(#REF!="Padrão",$H$4=#REF!),BDI!$B$17,IF(AND(#REF!="Padrão",$H$4=#REF!),BDI!$C$17,IF(AND(#REF!="Diferenciado",$H$4=#REF!),BDI!$G$17,IF(AND(#REF!="Diferenciado",$H$4=#REF!),BDI!$H$17,IF(#REF!="ZERO",0))))),"")</f>
        <v>#REF!</v>
      </c>
      <c r="H1006" s="161" t="e">
        <f t="shared" ca="1" si="46"/>
        <v>#REF!</v>
      </c>
      <c r="I1006" s="159" t="e">
        <f t="shared" ca="1" si="47"/>
        <v>#REF!</v>
      </c>
    </row>
    <row r="1007" spans="1:9" hidden="1" x14ac:dyDescent="0.25">
      <c r="A1007" s="102" t="s">
        <v>4217</v>
      </c>
      <c r="B1007" s="103" t="s">
        <v>4218</v>
      </c>
      <c r="C1007" s="104" t="s">
        <v>184</v>
      </c>
      <c r="D1007" s="104">
        <v>0</v>
      </c>
      <c r="E1007" s="158" t="s">
        <v>1079</v>
      </c>
      <c r="F1007" s="159" t="str">
        <f t="shared" si="45"/>
        <v/>
      </c>
      <c r="G1007" s="160" t="e">
        <f>IF(A1007&lt;&gt;"",IF(AND(#REF!="Padrão",$H$4=#REF!),BDI!$B$17,IF(AND(#REF!="Padrão",$H$4=#REF!),BDI!$C$17,IF(AND(#REF!="Diferenciado",$H$4=#REF!),BDI!$G$17,IF(AND(#REF!="Diferenciado",$H$4=#REF!),BDI!$H$17,IF(#REF!="ZERO",0))))),"")</f>
        <v>#REF!</v>
      </c>
      <c r="H1007" s="161" t="str">
        <f t="shared" si="46"/>
        <v/>
      </c>
      <c r="I1007" s="159" t="str">
        <f t="shared" si="47"/>
        <v/>
      </c>
    </row>
    <row r="1008" spans="1:9" hidden="1" x14ac:dyDescent="0.25">
      <c r="A1008" s="102" t="s">
        <v>4219</v>
      </c>
      <c r="B1008" s="103" t="s">
        <v>4220</v>
      </c>
      <c r="C1008" s="104" t="s">
        <v>189</v>
      </c>
      <c r="D1008" s="104">
        <v>0</v>
      </c>
      <c r="E1008" s="158" t="s">
        <v>1079</v>
      </c>
      <c r="F1008" s="159" t="str">
        <f t="shared" si="45"/>
        <v/>
      </c>
      <c r="G1008" s="160" t="e">
        <f>IF(A1008&lt;&gt;"",IF(AND(#REF!="Padrão",$H$4=#REF!),BDI!$B$17,IF(AND(#REF!="Padrão",$H$4=#REF!),BDI!$C$17,IF(AND(#REF!="Diferenciado",$H$4=#REF!),BDI!$G$17,IF(AND(#REF!="Diferenciado",$H$4=#REF!),BDI!$H$17,IF(#REF!="ZERO",0))))),"")</f>
        <v>#REF!</v>
      </c>
      <c r="H1008" s="161" t="str">
        <f t="shared" si="46"/>
        <v/>
      </c>
      <c r="I1008" s="159" t="str">
        <f t="shared" si="47"/>
        <v/>
      </c>
    </row>
    <row r="1009" spans="1:9" hidden="1" x14ac:dyDescent="0.25">
      <c r="A1009" s="102" t="s">
        <v>4221</v>
      </c>
      <c r="B1009" s="103" t="s">
        <v>4222</v>
      </c>
      <c r="C1009" s="104" t="s">
        <v>189</v>
      </c>
      <c r="D1009" s="104">
        <v>0</v>
      </c>
      <c r="E1009" s="158" t="s">
        <v>1079</v>
      </c>
      <c r="F1009" s="159" t="str">
        <f t="shared" si="45"/>
        <v/>
      </c>
      <c r="G1009" s="160" t="e">
        <f>IF(A1009&lt;&gt;"",IF(AND(#REF!="Padrão",$H$4=#REF!),BDI!$B$17,IF(AND(#REF!="Padrão",$H$4=#REF!),BDI!$C$17,IF(AND(#REF!="Diferenciado",$H$4=#REF!),BDI!$G$17,IF(AND(#REF!="Diferenciado",$H$4=#REF!),BDI!$H$17,IF(#REF!="ZERO",0))))),"")</f>
        <v>#REF!</v>
      </c>
      <c r="H1009" s="161" t="str">
        <f t="shared" si="46"/>
        <v/>
      </c>
      <c r="I1009" s="159" t="str">
        <f t="shared" si="47"/>
        <v/>
      </c>
    </row>
    <row r="1010" spans="1:9" hidden="1" x14ac:dyDescent="0.25">
      <c r="A1010" s="102" t="s">
        <v>4223</v>
      </c>
      <c r="B1010" s="103" t="s">
        <v>4224</v>
      </c>
      <c r="C1010" s="104" t="s">
        <v>189</v>
      </c>
      <c r="D1010" s="104">
        <v>0</v>
      </c>
      <c r="E1010" s="158" t="s">
        <v>1079</v>
      </c>
      <c r="F1010" s="159" t="str">
        <f t="shared" si="45"/>
        <v/>
      </c>
      <c r="G1010" s="160" t="e">
        <f>IF(A1010&lt;&gt;"",IF(AND(#REF!="Padrão",$H$4=#REF!),BDI!$B$17,IF(AND(#REF!="Padrão",$H$4=#REF!),BDI!$C$17,IF(AND(#REF!="Diferenciado",$H$4=#REF!),BDI!$G$17,IF(AND(#REF!="Diferenciado",$H$4=#REF!),BDI!$H$17,IF(#REF!="ZERO",0))))),"")</f>
        <v>#REF!</v>
      </c>
      <c r="H1010" s="161" t="str">
        <f t="shared" si="46"/>
        <v/>
      </c>
      <c r="I1010" s="159" t="str">
        <f t="shared" si="47"/>
        <v/>
      </c>
    </row>
    <row r="1011" spans="1:9" hidden="1" x14ac:dyDescent="0.25">
      <c r="A1011" s="102" t="s">
        <v>4225</v>
      </c>
      <c r="B1011" s="103" t="s">
        <v>4226</v>
      </c>
      <c r="C1011" s="104" t="s">
        <v>189</v>
      </c>
      <c r="D1011" s="104">
        <v>0</v>
      </c>
      <c r="E1011" s="158" t="s">
        <v>1079</v>
      </c>
      <c r="F1011" s="159" t="str">
        <f t="shared" si="45"/>
        <v/>
      </c>
      <c r="G1011" s="160" t="e">
        <f>IF(A1011&lt;&gt;"",IF(AND(#REF!="Padrão",$H$4=#REF!),BDI!$B$17,IF(AND(#REF!="Padrão",$H$4=#REF!),BDI!$C$17,IF(AND(#REF!="Diferenciado",$H$4=#REF!),BDI!$G$17,IF(AND(#REF!="Diferenciado",$H$4=#REF!),BDI!$H$17,IF(#REF!="ZERO",0))))),"")</f>
        <v>#REF!</v>
      </c>
      <c r="H1011" s="161" t="str">
        <f t="shared" si="46"/>
        <v/>
      </c>
      <c r="I1011" s="159" t="str">
        <f t="shared" si="47"/>
        <v/>
      </c>
    </row>
    <row r="1012" spans="1:9" hidden="1" x14ac:dyDescent="0.25">
      <c r="A1012" s="102" t="s">
        <v>4227</v>
      </c>
      <c r="B1012" s="103" t="s">
        <v>4228</v>
      </c>
      <c r="C1012" s="104" t="s">
        <v>189</v>
      </c>
      <c r="D1012" s="104">
        <v>0</v>
      </c>
      <c r="E1012" s="158" t="s">
        <v>1079</v>
      </c>
      <c r="F1012" s="159" t="str">
        <f t="shared" si="45"/>
        <v/>
      </c>
      <c r="G1012" s="160" t="e">
        <f>IF(A1012&lt;&gt;"",IF(AND(#REF!="Padrão",$H$4=#REF!),BDI!$B$17,IF(AND(#REF!="Padrão",$H$4=#REF!),BDI!$C$17,IF(AND(#REF!="Diferenciado",$H$4=#REF!),BDI!$G$17,IF(AND(#REF!="Diferenciado",$H$4=#REF!),BDI!$H$17,IF(#REF!="ZERO",0))))),"")</f>
        <v>#REF!</v>
      </c>
      <c r="H1012" s="161" t="str">
        <f t="shared" si="46"/>
        <v/>
      </c>
      <c r="I1012" s="159" t="str">
        <f t="shared" si="47"/>
        <v/>
      </c>
    </row>
    <row r="1013" spans="1:9" hidden="1" x14ac:dyDescent="0.25">
      <c r="A1013" s="102" t="s">
        <v>4229</v>
      </c>
      <c r="B1013" s="103" t="s">
        <v>4230</v>
      </c>
      <c r="C1013" s="104" t="s">
        <v>32</v>
      </c>
      <c r="D1013" s="104">
        <v>0</v>
      </c>
      <c r="E1013" s="158" t="s">
        <v>1079</v>
      </c>
      <c r="F1013" s="159" t="str">
        <f t="shared" si="45"/>
        <v/>
      </c>
      <c r="G1013" s="160" t="e">
        <f>IF(A1013&lt;&gt;"",IF(AND(#REF!="Padrão",$H$4=#REF!),BDI!$B$17,IF(AND(#REF!="Padrão",$H$4=#REF!),BDI!$C$17,IF(AND(#REF!="Diferenciado",$H$4=#REF!),BDI!$G$17,IF(AND(#REF!="Diferenciado",$H$4=#REF!),BDI!$H$17,IF(#REF!="ZERO",0))))),"")</f>
        <v>#REF!</v>
      </c>
      <c r="H1013" s="161" t="str">
        <f t="shared" si="46"/>
        <v/>
      </c>
      <c r="I1013" s="159" t="str">
        <f t="shared" si="47"/>
        <v/>
      </c>
    </row>
    <row r="1014" spans="1:9" hidden="1" x14ac:dyDescent="0.25">
      <c r="A1014" s="102" t="s">
        <v>4231</v>
      </c>
      <c r="B1014" s="103" t="s">
        <v>4232</v>
      </c>
      <c r="C1014" s="104" t="s">
        <v>4192</v>
      </c>
      <c r="D1014" s="104">
        <v>0</v>
      </c>
      <c r="E1014" s="158" t="s">
        <v>1079</v>
      </c>
      <c r="F1014" s="159" t="str">
        <f t="shared" si="45"/>
        <v/>
      </c>
      <c r="G1014" s="160" t="e">
        <f>IF(A1014&lt;&gt;"",IF(AND(#REF!="Padrão",$H$4=#REF!),BDI!$B$17,IF(AND(#REF!="Padrão",$H$4=#REF!),BDI!$C$17,IF(AND(#REF!="Diferenciado",$H$4=#REF!),BDI!$G$17,IF(AND(#REF!="Diferenciado",$H$4=#REF!),BDI!$H$17,IF(#REF!="ZERO",0))))),"")</f>
        <v>#REF!</v>
      </c>
      <c r="H1014" s="161" t="str">
        <f t="shared" si="46"/>
        <v/>
      </c>
      <c r="I1014" s="198" t="str">
        <f t="shared" si="47"/>
        <v/>
      </c>
    </row>
    <row r="1015" spans="1:9" x14ac:dyDescent="0.25">
      <c r="A1015" s="204" t="s">
        <v>4233</v>
      </c>
      <c r="B1015" s="205" t="s">
        <v>4234</v>
      </c>
      <c r="C1015" s="206" t="s">
        <v>32</v>
      </c>
      <c r="D1015" s="206">
        <v>8</v>
      </c>
      <c r="E1015" s="194">
        <v>715</v>
      </c>
      <c r="F1015" s="159">
        <f t="shared" si="45"/>
        <v>5720</v>
      </c>
      <c r="G1015" s="160">
        <f>BDI!$H$17</f>
        <v>0.16719999999999999</v>
      </c>
      <c r="H1015" s="161">
        <f t="shared" si="46"/>
        <v>834.55</v>
      </c>
      <c r="I1015" s="202">
        <f t="shared" si="47"/>
        <v>6676.4</v>
      </c>
    </row>
    <row r="1016" spans="1:9" hidden="1" x14ac:dyDescent="0.25">
      <c r="A1016" s="102" t="s">
        <v>1996</v>
      </c>
      <c r="B1016" s="103" t="s">
        <v>4235</v>
      </c>
      <c r="C1016" s="104" t="s">
        <v>184</v>
      </c>
      <c r="D1016" s="104">
        <v>0</v>
      </c>
      <c r="E1016" s="158">
        <f ca="1">OFFSET(INDEX(Composições!A:J,MATCH(Orçamentária!A1016,Composições!A:A,0),10),2,0)</f>
        <v>31.233938583599997</v>
      </c>
      <c r="F1016" s="159">
        <f t="shared" ca="1" si="45"/>
        <v>0</v>
      </c>
      <c r="G1016" s="160" t="e">
        <f>IF(A1016&lt;&gt;"",IF(AND(#REF!="Padrão",$H$4=#REF!),BDI!$B$17,IF(AND(#REF!="Padrão",$H$4=#REF!),BDI!$C$17,IF(AND(#REF!="Diferenciado",$H$4=#REF!),BDI!$G$17,IF(AND(#REF!="Diferenciado",$H$4=#REF!),BDI!$H$17,IF(#REF!="ZERO",0))))),"")</f>
        <v>#REF!</v>
      </c>
      <c r="H1016" s="161" t="e">
        <f t="shared" ca="1" si="46"/>
        <v>#REF!</v>
      </c>
      <c r="I1016" s="159" t="e">
        <f t="shared" ca="1" si="47"/>
        <v>#REF!</v>
      </c>
    </row>
    <row r="1017" spans="1:9" hidden="1" x14ac:dyDescent="0.25">
      <c r="A1017" s="102" t="s">
        <v>2002</v>
      </c>
      <c r="B1017" s="103" t="s">
        <v>4236</v>
      </c>
      <c r="C1017" s="104" t="s">
        <v>189</v>
      </c>
      <c r="D1017" s="104">
        <v>0</v>
      </c>
      <c r="E1017" s="158">
        <f ca="1">OFFSET(INDEX(Composições!A:J,MATCH(Orçamentária!A1017,Composições!A:A,0),10),2,0)</f>
        <v>7.7879669999999992</v>
      </c>
      <c r="F1017" s="159">
        <f t="shared" ca="1" si="45"/>
        <v>0</v>
      </c>
      <c r="G1017" s="160" t="e">
        <f>IF(A1017&lt;&gt;"",IF(AND(#REF!="Padrão",$H$4=#REF!),BDI!$B$17,IF(AND(#REF!="Padrão",$H$4=#REF!),BDI!$C$17,IF(AND(#REF!="Diferenciado",$H$4=#REF!),BDI!$G$17,IF(AND(#REF!="Diferenciado",$H$4=#REF!),BDI!$H$17,IF(#REF!="ZERO",0))))),"")</f>
        <v>#REF!</v>
      </c>
      <c r="H1017" s="161" t="e">
        <f t="shared" ca="1" si="46"/>
        <v>#REF!</v>
      </c>
      <c r="I1017" s="159" t="e">
        <f t="shared" ca="1" si="47"/>
        <v>#REF!</v>
      </c>
    </row>
    <row r="1018" spans="1:9" hidden="1" x14ac:dyDescent="0.25">
      <c r="A1018" s="102" t="s">
        <v>2003</v>
      </c>
      <c r="B1018" s="103" t="s">
        <v>4237</v>
      </c>
      <c r="C1018" s="104" t="s">
        <v>189</v>
      </c>
      <c r="D1018" s="104">
        <v>0</v>
      </c>
      <c r="E1018" s="158">
        <f ca="1">OFFSET(INDEX(Composições!A:J,MATCH(Orçamentária!A1018,Composições!A:A,0),10),2,0)</f>
        <v>15.783299999999997</v>
      </c>
      <c r="F1018" s="159">
        <f t="shared" ca="1" si="45"/>
        <v>0</v>
      </c>
      <c r="G1018" s="160" t="e">
        <f>IF(A1018&lt;&gt;"",IF(AND(#REF!="Padrão",$H$4=#REF!),BDI!$B$17,IF(AND(#REF!="Padrão",$H$4=#REF!),BDI!$C$17,IF(AND(#REF!="Diferenciado",$H$4=#REF!),BDI!$G$17,IF(AND(#REF!="Diferenciado",$H$4=#REF!),BDI!$H$17,IF(#REF!="ZERO",0))))),"")</f>
        <v>#REF!</v>
      </c>
      <c r="H1018" s="161" t="e">
        <f t="shared" ca="1" si="46"/>
        <v>#REF!</v>
      </c>
      <c r="I1018" s="159" t="e">
        <f t="shared" ca="1" si="47"/>
        <v>#REF!</v>
      </c>
    </row>
    <row r="1019" spans="1:9" hidden="1" x14ac:dyDescent="0.25">
      <c r="A1019" s="102" t="s">
        <v>2007</v>
      </c>
      <c r="B1019" s="103" t="s">
        <v>4238</v>
      </c>
      <c r="C1019" s="104" t="s">
        <v>189</v>
      </c>
      <c r="D1019" s="104">
        <v>0</v>
      </c>
      <c r="E1019" s="158">
        <f ca="1">OFFSET(INDEX(Composições!A:J,MATCH(Orçamentária!A1019,Composições!A:A,0),10),2,0)</f>
        <v>91.554492500000009</v>
      </c>
      <c r="F1019" s="159">
        <f t="shared" ca="1" si="45"/>
        <v>0</v>
      </c>
      <c r="G1019" s="160" t="e">
        <f>IF(A1019&lt;&gt;"",IF(AND(#REF!="Padrão",$H$4=#REF!),BDI!$B$17,IF(AND(#REF!="Padrão",$H$4=#REF!),BDI!$C$17,IF(AND(#REF!="Diferenciado",$H$4=#REF!),BDI!$G$17,IF(AND(#REF!="Diferenciado",$H$4=#REF!),BDI!$H$17,IF(#REF!="ZERO",0))))),"")</f>
        <v>#REF!</v>
      </c>
      <c r="H1019" s="161" t="e">
        <f t="shared" ca="1" si="46"/>
        <v>#REF!</v>
      </c>
      <c r="I1019" s="159" t="e">
        <f t="shared" ca="1" si="47"/>
        <v>#REF!</v>
      </c>
    </row>
    <row r="1020" spans="1:9" hidden="1" x14ac:dyDescent="0.25">
      <c r="A1020" s="102" t="s">
        <v>4239</v>
      </c>
      <c r="B1020" s="103" t="s">
        <v>4240</v>
      </c>
      <c r="C1020" s="104" t="s">
        <v>32</v>
      </c>
      <c r="D1020" s="104">
        <v>0</v>
      </c>
      <c r="E1020" s="158" t="s">
        <v>1079</v>
      </c>
      <c r="F1020" s="159" t="str">
        <f t="shared" si="45"/>
        <v/>
      </c>
      <c r="G1020" s="160" t="e">
        <f>IF(A1020&lt;&gt;"",IF(AND(#REF!="Padrão",$H$4=#REF!),BDI!$B$17,IF(AND(#REF!="Padrão",$H$4=#REF!),BDI!$C$17,IF(AND(#REF!="Diferenciado",$H$4=#REF!),BDI!$G$17,IF(AND(#REF!="Diferenciado",$H$4=#REF!),BDI!$H$17,IF(#REF!="ZERO",0))))),"")</f>
        <v>#REF!</v>
      </c>
      <c r="H1020" s="161" t="str">
        <f t="shared" si="46"/>
        <v/>
      </c>
      <c r="I1020" s="159" t="str">
        <f t="shared" si="47"/>
        <v/>
      </c>
    </row>
    <row r="1021" spans="1:9" hidden="1" x14ac:dyDescent="0.25">
      <c r="A1021" s="102" t="s">
        <v>4241</v>
      </c>
      <c r="B1021" s="103" t="s">
        <v>4242</v>
      </c>
      <c r="C1021" s="104" t="s">
        <v>32</v>
      </c>
      <c r="D1021" s="104">
        <v>0</v>
      </c>
      <c r="E1021" s="158" t="s">
        <v>1079</v>
      </c>
      <c r="F1021" s="159" t="str">
        <f t="shared" si="45"/>
        <v/>
      </c>
      <c r="G1021" s="160" t="e">
        <f>IF(A1021&lt;&gt;"",IF(AND(#REF!="Padrão",$H$4=#REF!),BDI!$B$17,IF(AND(#REF!="Padrão",$H$4=#REF!),BDI!$C$17,IF(AND(#REF!="Diferenciado",$H$4=#REF!),BDI!$G$17,IF(AND(#REF!="Diferenciado",$H$4=#REF!),BDI!$H$17,IF(#REF!="ZERO",0))))),"")</f>
        <v>#REF!</v>
      </c>
      <c r="H1021" s="161" t="str">
        <f t="shared" si="46"/>
        <v/>
      </c>
      <c r="I1021" s="159" t="str">
        <f t="shared" si="47"/>
        <v/>
      </c>
    </row>
    <row r="1022" spans="1:9" ht="25.5" hidden="1" x14ac:dyDescent="0.25">
      <c r="A1022" s="102" t="s">
        <v>4243</v>
      </c>
      <c r="B1022" s="103" t="s">
        <v>4244</v>
      </c>
      <c r="C1022" s="104" t="s">
        <v>32</v>
      </c>
      <c r="D1022" s="104">
        <v>0</v>
      </c>
      <c r="E1022" s="158" t="s">
        <v>1079</v>
      </c>
      <c r="F1022" s="159" t="str">
        <f t="shared" si="45"/>
        <v/>
      </c>
      <c r="G1022" s="160" t="e">
        <f>IF(A1022&lt;&gt;"",IF(AND(#REF!="Padrão",$H$4=#REF!),BDI!$B$17,IF(AND(#REF!="Padrão",$H$4=#REF!),BDI!$C$17,IF(AND(#REF!="Diferenciado",$H$4=#REF!),BDI!$G$17,IF(AND(#REF!="Diferenciado",$H$4=#REF!),BDI!$H$17,IF(#REF!="ZERO",0))))),"")</f>
        <v>#REF!</v>
      </c>
      <c r="H1022" s="161" t="str">
        <f t="shared" si="46"/>
        <v/>
      </c>
      <c r="I1022" s="159" t="str">
        <f t="shared" si="47"/>
        <v/>
      </c>
    </row>
    <row r="1023" spans="1:9" ht="25.5" hidden="1" x14ac:dyDescent="0.25">
      <c r="A1023" s="102" t="s">
        <v>4245</v>
      </c>
      <c r="B1023" s="103" t="s">
        <v>4246</v>
      </c>
      <c r="C1023" s="104" t="s">
        <v>32</v>
      </c>
      <c r="D1023" s="104">
        <v>0</v>
      </c>
      <c r="E1023" s="158" t="s">
        <v>1079</v>
      </c>
      <c r="F1023" s="159" t="str">
        <f t="shared" si="45"/>
        <v/>
      </c>
      <c r="G1023" s="160" t="e">
        <f>IF(A1023&lt;&gt;"",IF(AND(#REF!="Padrão",$H$4=#REF!),BDI!$B$17,IF(AND(#REF!="Padrão",$H$4=#REF!),BDI!$C$17,IF(AND(#REF!="Diferenciado",$H$4=#REF!),BDI!$G$17,IF(AND(#REF!="Diferenciado",$H$4=#REF!),BDI!$H$17,IF(#REF!="ZERO",0))))),"")</f>
        <v>#REF!</v>
      </c>
      <c r="H1023" s="161" t="str">
        <f t="shared" si="46"/>
        <v/>
      </c>
      <c r="I1023" s="159" t="str">
        <f t="shared" si="47"/>
        <v/>
      </c>
    </row>
    <row r="1024" spans="1:9" ht="25.5" hidden="1" x14ac:dyDescent="0.25">
      <c r="A1024" s="102" t="s">
        <v>4247</v>
      </c>
      <c r="B1024" s="103" t="s">
        <v>4248</v>
      </c>
      <c r="C1024" s="104" t="s">
        <v>32</v>
      </c>
      <c r="D1024" s="104">
        <v>0</v>
      </c>
      <c r="E1024" s="158" t="s">
        <v>1079</v>
      </c>
      <c r="F1024" s="159" t="str">
        <f t="shared" si="45"/>
        <v/>
      </c>
      <c r="G1024" s="160" t="e">
        <f>IF(A1024&lt;&gt;"",IF(AND(#REF!="Padrão",$H$4=#REF!),BDI!$B$17,IF(AND(#REF!="Padrão",$H$4=#REF!),BDI!$C$17,IF(AND(#REF!="Diferenciado",$H$4=#REF!),BDI!$G$17,IF(AND(#REF!="Diferenciado",$H$4=#REF!),BDI!$H$17,IF(#REF!="ZERO",0))))),"")</f>
        <v>#REF!</v>
      </c>
      <c r="H1024" s="161" t="str">
        <f t="shared" si="46"/>
        <v/>
      </c>
      <c r="I1024" s="159" t="str">
        <f t="shared" si="47"/>
        <v/>
      </c>
    </row>
    <row r="1025" spans="1:9" ht="25.5" hidden="1" x14ac:dyDescent="0.25">
      <c r="A1025" s="102" t="s">
        <v>4249</v>
      </c>
      <c r="B1025" s="103" t="s">
        <v>4250</v>
      </c>
      <c r="C1025" s="104" t="s">
        <v>32</v>
      </c>
      <c r="D1025" s="104">
        <v>0</v>
      </c>
      <c r="E1025" s="158" t="s">
        <v>1079</v>
      </c>
      <c r="F1025" s="159" t="str">
        <f t="shared" si="45"/>
        <v/>
      </c>
      <c r="G1025" s="160" t="e">
        <f>IF(A1025&lt;&gt;"",IF(AND(#REF!="Padrão",$H$4=#REF!),BDI!$B$17,IF(AND(#REF!="Padrão",$H$4=#REF!),BDI!$C$17,IF(AND(#REF!="Diferenciado",$H$4=#REF!),BDI!$G$17,IF(AND(#REF!="Diferenciado",$H$4=#REF!),BDI!$H$17,IF(#REF!="ZERO",0))))),"")</f>
        <v>#REF!</v>
      </c>
      <c r="H1025" s="161" t="str">
        <f t="shared" si="46"/>
        <v/>
      </c>
      <c r="I1025" s="159" t="str">
        <f t="shared" si="47"/>
        <v/>
      </c>
    </row>
    <row r="1026" spans="1:9" ht="25.5" hidden="1" x14ac:dyDescent="0.25">
      <c r="A1026" s="102" t="s">
        <v>4251</v>
      </c>
      <c r="B1026" s="103" t="s">
        <v>4252</v>
      </c>
      <c r="C1026" s="104" t="s">
        <v>32</v>
      </c>
      <c r="D1026" s="104">
        <v>0</v>
      </c>
      <c r="E1026" s="158" t="s">
        <v>1079</v>
      </c>
      <c r="F1026" s="159" t="str">
        <f t="shared" si="45"/>
        <v/>
      </c>
      <c r="G1026" s="160" t="e">
        <f>IF(A1026&lt;&gt;"",IF(AND(#REF!="Padrão",$H$4=#REF!),BDI!$B$17,IF(AND(#REF!="Padrão",$H$4=#REF!),BDI!$C$17,IF(AND(#REF!="Diferenciado",$H$4=#REF!),BDI!$G$17,IF(AND(#REF!="Diferenciado",$H$4=#REF!),BDI!$H$17,IF(#REF!="ZERO",0))))),"")</f>
        <v>#REF!</v>
      </c>
      <c r="H1026" s="161" t="str">
        <f t="shared" si="46"/>
        <v/>
      </c>
      <c r="I1026" s="159" t="str">
        <f t="shared" si="47"/>
        <v/>
      </c>
    </row>
    <row r="1027" spans="1:9" hidden="1" x14ac:dyDescent="0.25">
      <c r="A1027" s="102" t="s">
        <v>4253</v>
      </c>
      <c r="B1027" s="103" t="s">
        <v>4254</v>
      </c>
      <c r="C1027" s="104" t="s">
        <v>184</v>
      </c>
      <c r="D1027" s="104">
        <v>0</v>
      </c>
      <c r="E1027" s="158" t="s">
        <v>1079</v>
      </c>
      <c r="F1027" s="159" t="str">
        <f t="shared" si="45"/>
        <v/>
      </c>
      <c r="G1027" s="160" t="e">
        <f>IF(A1027&lt;&gt;"",IF(AND(#REF!="Padrão",$H$4=#REF!),BDI!$B$17,IF(AND(#REF!="Padrão",$H$4=#REF!),BDI!$C$17,IF(AND(#REF!="Diferenciado",$H$4=#REF!),BDI!$G$17,IF(AND(#REF!="Diferenciado",$H$4=#REF!),BDI!$H$17,IF(#REF!="ZERO",0))))),"")</f>
        <v>#REF!</v>
      </c>
      <c r="H1027" s="161" t="str">
        <f t="shared" si="46"/>
        <v/>
      </c>
      <c r="I1027" s="159" t="str">
        <f t="shared" si="47"/>
        <v/>
      </c>
    </row>
    <row r="1028" spans="1:9" hidden="1" x14ac:dyDescent="0.25">
      <c r="A1028" s="102" t="s">
        <v>4255</v>
      </c>
      <c r="B1028" s="103" t="s">
        <v>4256</v>
      </c>
      <c r="C1028" s="104" t="s">
        <v>184</v>
      </c>
      <c r="D1028" s="104">
        <v>0</v>
      </c>
      <c r="E1028" s="158" t="s">
        <v>1079</v>
      </c>
      <c r="F1028" s="159" t="str">
        <f t="shared" si="45"/>
        <v/>
      </c>
      <c r="G1028" s="160" t="e">
        <f>IF(A1028&lt;&gt;"",IF(AND(#REF!="Padrão",$H$4=#REF!),BDI!$B$17,IF(AND(#REF!="Padrão",$H$4=#REF!),BDI!$C$17,IF(AND(#REF!="Diferenciado",$H$4=#REF!),BDI!$G$17,IF(AND(#REF!="Diferenciado",$H$4=#REF!),BDI!$H$17,IF(#REF!="ZERO",0))))),"")</f>
        <v>#REF!</v>
      </c>
      <c r="H1028" s="161" t="str">
        <f t="shared" si="46"/>
        <v/>
      </c>
      <c r="I1028" s="159" t="str">
        <f t="shared" si="47"/>
        <v/>
      </c>
    </row>
    <row r="1029" spans="1:9" hidden="1" x14ac:dyDescent="0.25">
      <c r="A1029" s="102" t="s">
        <v>4257</v>
      </c>
      <c r="B1029" s="103" t="s">
        <v>4258</v>
      </c>
      <c r="C1029" s="104" t="s">
        <v>184</v>
      </c>
      <c r="D1029" s="104">
        <v>0</v>
      </c>
      <c r="E1029" s="158" t="s">
        <v>1079</v>
      </c>
      <c r="F1029" s="159" t="str">
        <f t="shared" si="45"/>
        <v/>
      </c>
      <c r="G1029" s="160" t="e">
        <f>IF(A1029&lt;&gt;"",IF(AND(#REF!="Padrão",$H$4=#REF!),BDI!$B$17,IF(AND(#REF!="Padrão",$H$4=#REF!),BDI!$C$17,IF(AND(#REF!="Diferenciado",$H$4=#REF!),BDI!$G$17,IF(AND(#REF!="Diferenciado",$H$4=#REF!),BDI!$H$17,IF(#REF!="ZERO",0))))),"")</f>
        <v>#REF!</v>
      </c>
      <c r="H1029" s="161" t="str">
        <f t="shared" si="46"/>
        <v/>
      </c>
      <c r="I1029" s="159" t="str">
        <f t="shared" si="47"/>
        <v/>
      </c>
    </row>
    <row r="1030" spans="1:9" hidden="1" x14ac:dyDescent="0.25">
      <c r="A1030" s="102" t="s">
        <v>4259</v>
      </c>
      <c r="B1030" s="103" t="s">
        <v>4260</v>
      </c>
      <c r="C1030" s="104" t="s">
        <v>184</v>
      </c>
      <c r="D1030" s="104">
        <v>0</v>
      </c>
      <c r="E1030" s="158" t="s">
        <v>1079</v>
      </c>
      <c r="F1030" s="159" t="str">
        <f t="shared" si="45"/>
        <v/>
      </c>
      <c r="G1030" s="160" t="e">
        <f>IF(A1030&lt;&gt;"",IF(AND(#REF!="Padrão",$H$4=#REF!),BDI!$B$17,IF(AND(#REF!="Padrão",$H$4=#REF!),BDI!$C$17,IF(AND(#REF!="Diferenciado",$H$4=#REF!),BDI!$G$17,IF(AND(#REF!="Diferenciado",$H$4=#REF!),BDI!$H$17,IF(#REF!="ZERO",0))))),"")</f>
        <v>#REF!</v>
      </c>
      <c r="H1030" s="161" t="str">
        <f t="shared" si="46"/>
        <v/>
      </c>
      <c r="I1030" s="159" t="str">
        <f t="shared" si="47"/>
        <v/>
      </c>
    </row>
    <row r="1031" spans="1:9" hidden="1" x14ac:dyDescent="0.25">
      <c r="A1031" s="102" t="s">
        <v>4261</v>
      </c>
      <c r="B1031" s="103" t="s">
        <v>4262</v>
      </c>
      <c r="C1031" s="104" t="s">
        <v>184</v>
      </c>
      <c r="D1031" s="104">
        <v>0</v>
      </c>
      <c r="E1031" s="158" t="s">
        <v>1079</v>
      </c>
      <c r="F1031" s="159" t="str">
        <f t="shared" ref="F1031:F1094" si="48">IF(ISNUMBER(E1031),D1031*E1031,"")</f>
        <v/>
      </c>
      <c r="G1031" s="160" t="e">
        <f>IF(A1031&lt;&gt;"",IF(AND(#REF!="Padrão",$H$4=#REF!),BDI!$B$17,IF(AND(#REF!="Padrão",$H$4=#REF!),BDI!$C$17,IF(AND(#REF!="Diferenciado",$H$4=#REF!),BDI!$G$17,IF(AND(#REF!="Diferenciado",$H$4=#REF!),BDI!$H$17,IF(#REF!="ZERO",0))))),"")</f>
        <v>#REF!</v>
      </c>
      <c r="H1031" s="161" t="str">
        <f t="shared" ref="H1031:H1094" si="49">IF(ISNUMBER(E1031),ROUND(E1031*(1+G1031),2),"")</f>
        <v/>
      </c>
      <c r="I1031" s="159" t="str">
        <f t="shared" ref="I1031:I1094" si="50">IF(ISNUMBER(E1031),ROUND(H1031*D1031,2),"")</f>
        <v/>
      </c>
    </row>
    <row r="1032" spans="1:9" hidden="1" x14ac:dyDescent="0.25">
      <c r="A1032" s="102" t="s">
        <v>4263</v>
      </c>
      <c r="B1032" s="103" t="s">
        <v>4264</v>
      </c>
      <c r="C1032" s="104" t="s">
        <v>184</v>
      </c>
      <c r="D1032" s="104">
        <v>0</v>
      </c>
      <c r="E1032" s="158" t="s">
        <v>1079</v>
      </c>
      <c r="F1032" s="159" t="str">
        <f t="shared" si="48"/>
        <v/>
      </c>
      <c r="G1032" s="160" t="e">
        <f>IF(A1032&lt;&gt;"",IF(AND(#REF!="Padrão",$H$4=#REF!),BDI!$B$17,IF(AND(#REF!="Padrão",$H$4=#REF!),BDI!$C$17,IF(AND(#REF!="Diferenciado",$H$4=#REF!),BDI!$G$17,IF(AND(#REF!="Diferenciado",$H$4=#REF!),BDI!$H$17,IF(#REF!="ZERO",0))))),"")</f>
        <v>#REF!</v>
      </c>
      <c r="H1032" s="161" t="str">
        <f t="shared" si="49"/>
        <v/>
      </c>
      <c r="I1032" s="159" t="str">
        <f t="shared" si="50"/>
        <v/>
      </c>
    </row>
    <row r="1033" spans="1:9" hidden="1" x14ac:dyDescent="0.25">
      <c r="A1033" s="102" t="s">
        <v>4265</v>
      </c>
      <c r="B1033" s="103" t="s">
        <v>4266</v>
      </c>
      <c r="C1033" s="104" t="s">
        <v>184</v>
      </c>
      <c r="D1033" s="104">
        <v>0</v>
      </c>
      <c r="E1033" s="158" t="s">
        <v>1079</v>
      </c>
      <c r="F1033" s="159" t="str">
        <f t="shared" si="48"/>
        <v/>
      </c>
      <c r="G1033" s="160" t="e">
        <f>IF(A1033&lt;&gt;"",IF(AND(#REF!="Padrão",$H$4=#REF!),BDI!$B$17,IF(AND(#REF!="Padrão",$H$4=#REF!),BDI!$C$17,IF(AND(#REF!="Diferenciado",$H$4=#REF!),BDI!$G$17,IF(AND(#REF!="Diferenciado",$H$4=#REF!),BDI!$H$17,IF(#REF!="ZERO",0))))),"")</f>
        <v>#REF!</v>
      </c>
      <c r="H1033" s="161" t="str">
        <f t="shared" si="49"/>
        <v/>
      </c>
      <c r="I1033" s="159" t="str">
        <f t="shared" si="50"/>
        <v/>
      </c>
    </row>
    <row r="1034" spans="1:9" hidden="1" x14ac:dyDescent="0.25">
      <c r="A1034" s="102" t="s">
        <v>2016</v>
      </c>
      <c r="B1034" s="103" t="s">
        <v>4267</v>
      </c>
      <c r="C1034" s="104" t="s">
        <v>4216</v>
      </c>
      <c r="D1034" s="104">
        <v>0</v>
      </c>
      <c r="E1034" s="158">
        <f ca="1">OFFSET(INDEX(Composições!A:J,MATCH(Orçamentária!A1034,Composições!A:A,0),10),2,0)</f>
        <v>619.875</v>
      </c>
      <c r="F1034" s="159">
        <f t="shared" ca="1" si="48"/>
        <v>0</v>
      </c>
      <c r="G1034" s="160" t="e">
        <f>IF(A1034&lt;&gt;"",IF(AND(#REF!="Padrão",$H$4=#REF!),BDI!$B$17,IF(AND(#REF!="Padrão",$H$4=#REF!),BDI!$C$17,IF(AND(#REF!="Diferenciado",$H$4=#REF!),BDI!$G$17,IF(AND(#REF!="Diferenciado",$H$4=#REF!),BDI!$H$17,IF(#REF!="ZERO",0))))),"")</f>
        <v>#REF!</v>
      </c>
      <c r="H1034" s="161" t="e">
        <f t="shared" ca="1" si="49"/>
        <v>#REF!</v>
      </c>
      <c r="I1034" s="159" t="e">
        <f t="shared" ca="1" si="50"/>
        <v>#REF!</v>
      </c>
    </row>
    <row r="1035" spans="1:9" hidden="1" x14ac:dyDescent="0.25">
      <c r="A1035" s="102" t="s">
        <v>2019</v>
      </c>
      <c r="B1035" s="103" t="s">
        <v>4268</v>
      </c>
      <c r="C1035" s="104" t="s">
        <v>4216</v>
      </c>
      <c r="D1035" s="104">
        <v>0</v>
      </c>
      <c r="E1035" s="158">
        <f ca="1">OFFSET(INDEX(Composições!A:J,MATCH(Orçamentária!A1035,Composições!A:A,0),10),2,0)</f>
        <v>387.41949999999997</v>
      </c>
      <c r="F1035" s="159">
        <f t="shared" ca="1" si="48"/>
        <v>0</v>
      </c>
      <c r="G1035" s="160" t="e">
        <f>IF(A1035&lt;&gt;"",IF(AND(#REF!="Padrão",$H$4=#REF!),BDI!$B$17,IF(AND(#REF!="Padrão",$H$4=#REF!),BDI!$C$17,IF(AND(#REF!="Diferenciado",$H$4=#REF!),BDI!$G$17,IF(AND(#REF!="Diferenciado",$H$4=#REF!),BDI!$H$17,IF(#REF!="ZERO",0))))),"")</f>
        <v>#REF!</v>
      </c>
      <c r="H1035" s="161" t="e">
        <f t="shared" ca="1" si="49"/>
        <v>#REF!</v>
      </c>
      <c r="I1035" s="159" t="e">
        <f t="shared" ca="1" si="50"/>
        <v>#REF!</v>
      </c>
    </row>
    <row r="1036" spans="1:9" hidden="1" x14ac:dyDescent="0.25">
      <c r="A1036" s="102" t="s">
        <v>2022</v>
      </c>
      <c r="B1036" s="103" t="s">
        <v>4269</v>
      </c>
      <c r="C1036" s="104" t="s">
        <v>189</v>
      </c>
      <c r="D1036" s="104">
        <v>0</v>
      </c>
      <c r="E1036" s="158">
        <f ca="1">OFFSET(INDEX(Composições!A:J,MATCH(Orçamentária!A1036,Composições!A:A,0),10),2,0)</f>
        <v>296.875</v>
      </c>
      <c r="F1036" s="159">
        <f t="shared" ca="1" si="48"/>
        <v>0</v>
      </c>
      <c r="G1036" s="160" t="e">
        <f>IF(A1036&lt;&gt;"",IF(AND(#REF!="Padrão",$H$4=#REF!),BDI!$B$17,IF(AND(#REF!="Padrão",$H$4=#REF!),BDI!$C$17,IF(AND(#REF!="Diferenciado",$H$4=#REF!),BDI!$G$17,IF(AND(#REF!="Diferenciado",$H$4=#REF!),BDI!$H$17,IF(#REF!="ZERO",0))))),"")</f>
        <v>#REF!</v>
      </c>
      <c r="H1036" s="161" t="e">
        <f t="shared" ca="1" si="49"/>
        <v>#REF!</v>
      </c>
      <c r="I1036" s="159" t="e">
        <f t="shared" ca="1" si="50"/>
        <v>#REF!</v>
      </c>
    </row>
    <row r="1037" spans="1:9" ht="25.5" hidden="1" x14ac:dyDescent="0.25">
      <c r="A1037" s="102" t="s">
        <v>4270</v>
      </c>
      <c r="B1037" s="103" t="s">
        <v>4271</v>
      </c>
      <c r="C1037" s="104" t="s">
        <v>3771</v>
      </c>
      <c r="D1037" s="104">
        <v>0</v>
      </c>
      <c r="E1037" s="158" t="s">
        <v>1079</v>
      </c>
      <c r="F1037" s="159" t="str">
        <f t="shared" si="48"/>
        <v/>
      </c>
      <c r="G1037" s="160" t="e">
        <f>IF(A1037&lt;&gt;"",IF(AND(#REF!="Padrão",$H$4=#REF!),BDI!$B$17,IF(AND(#REF!="Padrão",$H$4=#REF!),BDI!$C$17,IF(AND(#REF!="Diferenciado",$H$4=#REF!),BDI!$G$17,IF(AND(#REF!="Diferenciado",$H$4=#REF!),BDI!$H$17,IF(#REF!="ZERO",0))))),"")</f>
        <v>#REF!</v>
      </c>
      <c r="H1037" s="161" t="str">
        <f t="shared" si="49"/>
        <v/>
      </c>
      <c r="I1037" s="159" t="str">
        <f t="shared" si="50"/>
        <v/>
      </c>
    </row>
    <row r="1038" spans="1:9" hidden="1" x14ac:dyDescent="0.25">
      <c r="A1038" s="102" t="s">
        <v>4272</v>
      </c>
      <c r="B1038" s="103" t="s">
        <v>4273</v>
      </c>
      <c r="C1038" s="104" t="s">
        <v>3771</v>
      </c>
      <c r="D1038" s="104">
        <v>0</v>
      </c>
      <c r="E1038" s="158" t="s">
        <v>1079</v>
      </c>
      <c r="F1038" s="159" t="str">
        <f t="shared" si="48"/>
        <v/>
      </c>
      <c r="G1038" s="160" t="e">
        <f>IF(A1038&lt;&gt;"",IF(AND(#REF!="Padrão",$H$4=#REF!),BDI!$B$17,IF(AND(#REF!="Padrão",$H$4=#REF!),BDI!$C$17,IF(AND(#REF!="Diferenciado",$H$4=#REF!),BDI!$G$17,IF(AND(#REF!="Diferenciado",$H$4=#REF!),BDI!$H$17,IF(#REF!="ZERO",0))))),"")</f>
        <v>#REF!</v>
      </c>
      <c r="H1038" s="161" t="str">
        <f t="shared" si="49"/>
        <v/>
      </c>
      <c r="I1038" s="159" t="str">
        <f t="shared" si="50"/>
        <v/>
      </c>
    </row>
    <row r="1039" spans="1:9" hidden="1" x14ac:dyDescent="0.25">
      <c r="A1039" s="102" t="s">
        <v>4274</v>
      </c>
      <c r="B1039" s="103" t="s">
        <v>4275</v>
      </c>
      <c r="C1039" s="104" t="s">
        <v>3771</v>
      </c>
      <c r="D1039" s="104">
        <v>0</v>
      </c>
      <c r="E1039" s="158" t="s">
        <v>1079</v>
      </c>
      <c r="F1039" s="159" t="str">
        <f t="shared" si="48"/>
        <v/>
      </c>
      <c r="G1039" s="160" t="e">
        <f>IF(A1039&lt;&gt;"",IF(AND(#REF!="Padrão",$H$4=#REF!),BDI!$B$17,IF(AND(#REF!="Padrão",$H$4=#REF!),BDI!$C$17,IF(AND(#REF!="Diferenciado",$H$4=#REF!),BDI!$G$17,IF(AND(#REF!="Diferenciado",$H$4=#REF!),BDI!$H$17,IF(#REF!="ZERO",0))))),"")</f>
        <v>#REF!</v>
      </c>
      <c r="H1039" s="161" t="str">
        <f t="shared" si="49"/>
        <v/>
      </c>
      <c r="I1039" s="159" t="str">
        <f t="shared" si="50"/>
        <v/>
      </c>
    </row>
    <row r="1040" spans="1:9" hidden="1" x14ac:dyDescent="0.25">
      <c r="A1040" s="102" t="s">
        <v>4276</v>
      </c>
      <c r="B1040" s="103" t="s">
        <v>4277</v>
      </c>
      <c r="C1040" s="104" t="s">
        <v>3771</v>
      </c>
      <c r="D1040" s="104">
        <v>0</v>
      </c>
      <c r="E1040" s="158" t="s">
        <v>1079</v>
      </c>
      <c r="F1040" s="159" t="str">
        <f t="shared" si="48"/>
        <v/>
      </c>
      <c r="G1040" s="160" t="e">
        <f>IF(A1040&lt;&gt;"",IF(AND(#REF!="Padrão",$H$4=#REF!),BDI!$B$17,IF(AND(#REF!="Padrão",$H$4=#REF!),BDI!$C$17,IF(AND(#REF!="Diferenciado",$H$4=#REF!),BDI!$G$17,IF(AND(#REF!="Diferenciado",$H$4=#REF!),BDI!$H$17,IF(#REF!="ZERO",0))))),"")</f>
        <v>#REF!</v>
      </c>
      <c r="H1040" s="161" t="str">
        <f t="shared" si="49"/>
        <v/>
      </c>
      <c r="I1040" s="159" t="str">
        <f t="shared" si="50"/>
        <v/>
      </c>
    </row>
    <row r="1041" spans="1:9" hidden="1" x14ac:dyDescent="0.25">
      <c r="A1041" s="102" t="s">
        <v>4278</v>
      </c>
      <c r="B1041" s="103" t="s">
        <v>4279</v>
      </c>
      <c r="C1041" s="104" t="s">
        <v>3771</v>
      </c>
      <c r="D1041" s="104">
        <v>0</v>
      </c>
      <c r="E1041" s="158" t="s">
        <v>1079</v>
      </c>
      <c r="F1041" s="159" t="str">
        <f t="shared" si="48"/>
        <v/>
      </c>
      <c r="G1041" s="160" t="e">
        <f>IF(A1041&lt;&gt;"",IF(AND(#REF!="Padrão",$H$4=#REF!),BDI!$B$17,IF(AND(#REF!="Padrão",$H$4=#REF!),BDI!$C$17,IF(AND(#REF!="Diferenciado",$H$4=#REF!),BDI!$G$17,IF(AND(#REF!="Diferenciado",$H$4=#REF!),BDI!$H$17,IF(#REF!="ZERO",0))))),"")</f>
        <v>#REF!</v>
      </c>
      <c r="H1041" s="161" t="str">
        <f t="shared" si="49"/>
        <v/>
      </c>
      <c r="I1041" s="159" t="str">
        <f t="shared" si="50"/>
        <v/>
      </c>
    </row>
    <row r="1042" spans="1:9" hidden="1" x14ac:dyDescent="0.25">
      <c r="A1042" s="102" t="s">
        <v>4280</v>
      </c>
      <c r="B1042" s="103" t="s">
        <v>4281</v>
      </c>
      <c r="C1042" s="104" t="s">
        <v>3771</v>
      </c>
      <c r="D1042" s="104">
        <v>0</v>
      </c>
      <c r="E1042" s="158" t="s">
        <v>1079</v>
      </c>
      <c r="F1042" s="159" t="str">
        <f t="shared" si="48"/>
        <v/>
      </c>
      <c r="G1042" s="160" t="e">
        <f>IF(A1042&lt;&gt;"",IF(AND(#REF!="Padrão",$H$4=#REF!),BDI!$B$17,IF(AND(#REF!="Padrão",$H$4=#REF!),BDI!$C$17,IF(AND(#REF!="Diferenciado",$H$4=#REF!),BDI!$G$17,IF(AND(#REF!="Diferenciado",$H$4=#REF!),BDI!$H$17,IF(#REF!="ZERO",0))))),"")</f>
        <v>#REF!</v>
      </c>
      <c r="H1042" s="161" t="str">
        <f t="shared" si="49"/>
        <v/>
      </c>
      <c r="I1042" s="159" t="str">
        <f t="shared" si="50"/>
        <v/>
      </c>
    </row>
    <row r="1043" spans="1:9" hidden="1" x14ac:dyDescent="0.25">
      <c r="A1043" s="102" t="s">
        <v>4282</v>
      </c>
      <c r="B1043" s="103" t="s">
        <v>4283</v>
      </c>
      <c r="C1043" s="104" t="s">
        <v>3771</v>
      </c>
      <c r="D1043" s="104">
        <v>0</v>
      </c>
      <c r="E1043" s="158" t="s">
        <v>1079</v>
      </c>
      <c r="F1043" s="159" t="str">
        <f t="shared" si="48"/>
        <v/>
      </c>
      <c r="G1043" s="160" t="e">
        <f>IF(A1043&lt;&gt;"",IF(AND(#REF!="Padrão",$H$4=#REF!),BDI!$B$17,IF(AND(#REF!="Padrão",$H$4=#REF!),BDI!$C$17,IF(AND(#REF!="Diferenciado",$H$4=#REF!),BDI!$G$17,IF(AND(#REF!="Diferenciado",$H$4=#REF!),BDI!$H$17,IF(#REF!="ZERO",0))))),"")</f>
        <v>#REF!</v>
      </c>
      <c r="H1043" s="161" t="str">
        <f t="shared" si="49"/>
        <v/>
      </c>
      <c r="I1043" s="159" t="str">
        <f t="shared" si="50"/>
        <v/>
      </c>
    </row>
    <row r="1044" spans="1:9" hidden="1" x14ac:dyDescent="0.25">
      <c r="A1044" s="102" t="s">
        <v>4284</v>
      </c>
      <c r="B1044" s="103" t="s">
        <v>4285</v>
      </c>
      <c r="C1044" s="104" t="s">
        <v>3771</v>
      </c>
      <c r="D1044" s="104">
        <v>0</v>
      </c>
      <c r="E1044" s="158" t="s">
        <v>1079</v>
      </c>
      <c r="F1044" s="159" t="str">
        <f t="shared" si="48"/>
        <v/>
      </c>
      <c r="G1044" s="160" t="e">
        <f>IF(A1044&lt;&gt;"",IF(AND(#REF!="Padrão",$H$4=#REF!),BDI!$B$17,IF(AND(#REF!="Padrão",$H$4=#REF!),BDI!$C$17,IF(AND(#REF!="Diferenciado",$H$4=#REF!),BDI!$G$17,IF(AND(#REF!="Diferenciado",$H$4=#REF!),BDI!$H$17,IF(#REF!="ZERO",0))))),"")</f>
        <v>#REF!</v>
      </c>
      <c r="H1044" s="161" t="str">
        <f t="shared" si="49"/>
        <v/>
      </c>
      <c r="I1044" s="159" t="str">
        <f t="shared" si="50"/>
        <v/>
      </c>
    </row>
    <row r="1045" spans="1:9" hidden="1" x14ac:dyDescent="0.25">
      <c r="A1045" s="102" t="s">
        <v>4286</v>
      </c>
      <c r="B1045" s="103" t="s">
        <v>4287</v>
      </c>
      <c r="C1045" s="104" t="s">
        <v>3771</v>
      </c>
      <c r="D1045" s="104">
        <v>0</v>
      </c>
      <c r="E1045" s="158" t="s">
        <v>1079</v>
      </c>
      <c r="F1045" s="159" t="str">
        <f t="shared" si="48"/>
        <v/>
      </c>
      <c r="G1045" s="160" t="e">
        <f>IF(A1045&lt;&gt;"",IF(AND(#REF!="Padrão",$H$4=#REF!),BDI!$B$17,IF(AND(#REF!="Padrão",$H$4=#REF!),BDI!$C$17,IF(AND(#REF!="Diferenciado",$H$4=#REF!),BDI!$G$17,IF(AND(#REF!="Diferenciado",$H$4=#REF!),BDI!$H$17,IF(#REF!="ZERO",0))))),"")</f>
        <v>#REF!</v>
      </c>
      <c r="H1045" s="161" t="str">
        <f t="shared" si="49"/>
        <v/>
      </c>
      <c r="I1045" s="159" t="str">
        <f t="shared" si="50"/>
        <v/>
      </c>
    </row>
    <row r="1046" spans="1:9" hidden="1" x14ac:dyDescent="0.25">
      <c r="A1046" s="102" t="s">
        <v>2025</v>
      </c>
      <c r="B1046" s="103" t="s">
        <v>4288</v>
      </c>
      <c r="C1046" s="104" t="s">
        <v>3771</v>
      </c>
      <c r="D1046" s="104">
        <v>0</v>
      </c>
      <c r="E1046" s="158">
        <f ca="1">OFFSET(INDEX(Composições!A:J,MATCH(Orçamentária!A1046,Composições!A:A,0),10),2,0)</f>
        <v>3289.2827435999998</v>
      </c>
      <c r="F1046" s="159">
        <f t="shared" ca="1" si="48"/>
        <v>0</v>
      </c>
      <c r="G1046" s="160" t="e">
        <f>IF(A1046&lt;&gt;"",IF(AND(#REF!="Padrão",$H$4=#REF!),BDI!$B$17,IF(AND(#REF!="Padrão",$H$4=#REF!),BDI!$C$17,IF(AND(#REF!="Diferenciado",$H$4=#REF!),BDI!$G$17,IF(AND(#REF!="Diferenciado",$H$4=#REF!),BDI!$H$17,IF(#REF!="ZERO",0))))),"")</f>
        <v>#REF!</v>
      </c>
      <c r="H1046" s="161" t="e">
        <f t="shared" ca="1" si="49"/>
        <v>#REF!</v>
      </c>
      <c r="I1046" s="159" t="e">
        <f t="shared" ca="1" si="50"/>
        <v>#REF!</v>
      </c>
    </row>
    <row r="1047" spans="1:9" hidden="1" x14ac:dyDescent="0.25">
      <c r="A1047" s="102" t="s">
        <v>4289</v>
      </c>
      <c r="B1047" s="103" t="s">
        <v>4290</v>
      </c>
      <c r="C1047" s="104" t="s">
        <v>3994</v>
      </c>
      <c r="D1047" s="104">
        <v>0</v>
      </c>
      <c r="E1047" s="158" t="s">
        <v>1079</v>
      </c>
      <c r="F1047" s="159" t="str">
        <f t="shared" si="48"/>
        <v/>
      </c>
      <c r="G1047" s="160" t="e">
        <f>IF(A1047&lt;&gt;"",IF(AND(#REF!="Padrão",$H$4=#REF!),BDI!$B$17,IF(AND(#REF!="Padrão",$H$4=#REF!),BDI!$C$17,IF(AND(#REF!="Diferenciado",$H$4=#REF!),BDI!$G$17,IF(AND(#REF!="Diferenciado",$H$4=#REF!),BDI!$H$17,IF(#REF!="ZERO",0))))),"")</f>
        <v>#REF!</v>
      </c>
      <c r="H1047" s="161" t="str">
        <f t="shared" si="49"/>
        <v/>
      </c>
      <c r="I1047" s="159" t="str">
        <f t="shared" si="50"/>
        <v/>
      </c>
    </row>
    <row r="1048" spans="1:9" hidden="1" x14ac:dyDescent="0.25">
      <c r="A1048" s="102" t="s">
        <v>4291</v>
      </c>
      <c r="B1048" s="103" t="s">
        <v>4292</v>
      </c>
      <c r="C1048" s="104" t="s">
        <v>3994</v>
      </c>
      <c r="D1048" s="104">
        <v>0</v>
      </c>
      <c r="E1048" s="158" t="s">
        <v>1079</v>
      </c>
      <c r="F1048" s="159" t="str">
        <f t="shared" si="48"/>
        <v/>
      </c>
      <c r="G1048" s="160" t="e">
        <f>IF(A1048&lt;&gt;"",IF(AND(#REF!="Padrão",$H$4=#REF!),BDI!$B$17,IF(AND(#REF!="Padrão",$H$4=#REF!),BDI!$C$17,IF(AND(#REF!="Diferenciado",$H$4=#REF!),BDI!$G$17,IF(AND(#REF!="Diferenciado",$H$4=#REF!),BDI!$H$17,IF(#REF!="ZERO",0))))),"")</f>
        <v>#REF!</v>
      </c>
      <c r="H1048" s="161" t="str">
        <f t="shared" si="49"/>
        <v/>
      </c>
      <c r="I1048" s="159" t="str">
        <f t="shared" si="50"/>
        <v/>
      </c>
    </row>
    <row r="1049" spans="1:9" hidden="1" x14ac:dyDescent="0.25">
      <c r="A1049" s="102" t="s">
        <v>4293</v>
      </c>
      <c r="B1049" s="103" t="s">
        <v>4294</v>
      </c>
      <c r="C1049" s="104" t="s">
        <v>3994</v>
      </c>
      <c r="D1049" s="104">
        <v>0</v>
      </c>
      <c r="E1049" s="158" t="s">
        <v>1079</v>
      </c>
      <c r="F1049" s="159" t="str">
        <f t="shared" si="48"/>
        <v/>
      </c>
      <c r="G1049" s="160" t="e">
        <f>IF(A1049&lt;&gt;"",IF(AND(#REF!="Padrão",$H$4=#REF!),BDI!$B$17,IF(AND(#REF!="Padrão",$H$4=#REF!),BDI!$C$17,IF(AND(#REF!="Diferenciado",$H$4=#REF!),BDI!$G$17,IF(AND(#REF!="Diferenciado",$H$4=#REF!),BDI!$H$17,IF(#REF!="ZERO",0))))),"")</f>
        <v>#REF!</v>
      </c>
      <c r="H1049" s="161" t="str">
        <f t="shared" si="49"/>
        <v/>
      </c>
      <c r="I1049" s="159" t="str">
        <f t="shared" si="50"/>
        <v/>
      </c>
    </row>
    <row r="1050" spans="1:9" hidden="1" x14ac:dyDescent="0.25">
      <c r="A1050" s="102" t="s">
        <v>4295</v>
      </c>
      <c r="B1050" s="103" t="s">
        <v>4296</v>
      </c>
      <c r="C1050" s="104" t="s">
        <v>3994</v>
      </c>
      <c r="D1050" s="104">
        <v>0</v>
      </c>
      <c r="E1050" s="158" t="s">
        <v>1079</v>
      </c>
      <c r="F1050" s="159" t="str">
        <f t="shared" si="48"/>
        <v/>
      </c>
      <c r="G1050" s="160" t="e">
        <f>IF(A1050&lt;&gt;"",IF(AND(#REF!="Padrão",$H$4=#REF!),BDI!$B$17,IF(AND(#REF!="Padrão",$H$4=#REF!),BDI!$C$17,IF(AND(#REF!="Diferenciado",$H$4=#REF!),BDI!$G$17,IF(AND(#REF!="Diferenciado",$H$4=#REF!),BDI!$H$17,IF(#REF!="ZERO",0))))),"")</f>
        <v>#REF!</v>
      </c>
      <c r="H1050" s="161" t="str">
        <f t="shared" si="49"/>
        <v/>
      </c>
      <c r="I1050" s="159" t="str">
        <f t="shared" si="50"/>
        <v/>
      </c>
    </row>
    <row r="1051" spans="1:9" hidden="1" x14ac:dyDescent="0.25">
      <c r="A1051" s="102" t="s">
        <v>4297</v>
      </c>
      <c r="B1051" s="103" t="s">
        <v>4298</v>
      </c>
      <c r="C1051" s="104" t="s">
        <v>32</v>
      </c>
      <c r="D1051" s="104">
        <v>0</v>
      </c>
      <c r="E1051" s="158" t="s">
        <v>1079</v>
      </c>
      <c r="F1051" s="159" t="str">
        <f t="shared" si="48"/>
        <v/>
      </c>
      <c r="G1051" s="160" t="e">
        <f>IF(A1051&lt;&gt;"",IF(AND(#REF!="Padrão",$H$4=#REF!),BDI!$B$17,IF(AND(#REF!="Padrão",$H$4=#REF!),BDI!$C$17,IF(AND(#REF!="Diferenciado",$H$4=#REF!),BDI!$G$17,IF(AND(#REF!="Diferenciado",$H$4=#REF!),BDI!$H$17,IF(#REF!="ZERO",0))))),"")</f>
        <v>#REF!</v>
      </c>
      <c r="H1051" s="161" t="str">
        <f t="shared" si="49"/>
        <v/>
      </c>
      <c r="I1051" s="159" t="str">
        <f t="shared" si="50"/>
        <v/>
      </c>
    </row>
    <row r="1052" spans="1:9" hidden="1" x14ac:dyDescent="0.25">
      <c r="A1052" s="102" t="s">
        <v>4299</v>
      </c>
      <c r="B1052" s="103" t="s">
        <v>4300</v>
      </c>
      <c r="C1052" s="104" t="s">
        <v>1171</v>
      </c>
      <c r="D1052" s="104">
        <v>0</v>
      </c>
      <c r="E1052" s="158" t="s">
        <v>1079</v>
      </c>
      <c r="F1052" s="159" t="str">
        <f t="shared" si="48"/>
        <v/>
      </c>
      <c r="G1052" s="160" t="e">
        <f>IF(A1052&lt;&gt;"",IF(AND(#REF!="Padrão",$H$4=#REF!),BDI!$B$17,IF(AND(#REF!="Padrão",$H$4=#REF!),BDI!$C$17,IF(AND(#REF!="Diferenciado",$H$4=#REF!),BDI!$G$17,IF(AND(#REF!="Diferenciado",$H$4=#REF!),BDI!$H$17,IF(#REF!="ZERO",0))))),"")</f>
        <v>#REF!</v>
      </c>
      <c r="H1052" s="161" t="str">
        <f t="shared" si="49"/>
        <v/>
      </c>
      <c r="I1052" s="159" t="str">
        <f t="shared" si="50"/>
        <v/>
      </c>
    </row>
    <row r="1053" spans="1:9" hidden="1" x14ac:dyDescent="0.25">
      <c r="A1053" s="102" t="s">
        <v>4301</v>
      </c>
      <c r="B1053" s="103" t="s">
        <v>4302</v>
      </c>
      <c r="C1053" s="104" t="s">
        <v>1171</v>
      </c>
      <c r="D1053" s="104">
        <v>0</v>
      </c>
      <c r="E1053" s="158" t="s">
        <v>1079</v>
      </c>
      <c r="F1053" s="159" t="str">
        <f t="shared" si="48"/>
        <v/>
      </c>
      <c r="G1053" s="160" t="e">
        <f>IF(A1053&lt;&gt;"",IF(AND(#REF!="Padrão",$H$4=#REF!),BDI!$B$17,IF(AND(#REF!="Padrão",$H$4=#REF!),BDI!$C$17,IF(AND(#REF!="Diferenciado",$H$4=#REF!),BDI!$G$17,IF(AND(#REF!="Diferenciado",$H$4=#REF!),BDI!$H$17,IF(#REF!="ZERO",0))))),"")</f>
        <v>#REF!</v>
      </c>
      <c r="H1053" s="161" t="str">
        <f t="shared" si="49"/>
        <v/>
      </c>
      <c r="I1053" s="159" t="str">
        <f t="shared" si="50"/>
        <v/>
      </c>
    </row>
    <row r="1054" spans="1:9" hidden="1" x14ac:dyDescent="0.25">
      <c r="A1054" s="102" t="s">
        <v>4303</v>
      </c>
      <c r="B1054" s="103" t="s">
        <v>4304</v>
      </c>
      <c r="C1054" s="104" t="s">
        <v>3994</v>
      </c>
      <c r="D1054" s="104">
        <v>0</v>
      </c>
      <c r="E1054" s="158" t="s">
        <v>1079</v>
      </c>
      <c r="F1054" s="159" t="str">
        <f t="shared" si="48"/>
        <v/>
      </c>
      <c r="G1054" s="160" t="e">
        <f>IF(A1054&lt;&gt;"",IF(AND(#REF!="Padrão",$H$4=#REF!),BDI!$B$17,IF(AND(#REF!="Padrão",$H$4=#REF!),BDI!$C$17,IF(AND(#REF!="Diferenciado",$H$4=#REF!),BDI!$G$17,IF(AND(#REF!="Diferenciado",$H$4=#REF!),BDI!$H$17,IF(#REF!="ZERO",0))))),"")</f>
        <v>#REF!</v>
      </c>
      <c r="H1054" s="161" t="str">
        <f t="shared" si="49"/>
        <v/>
      </c>
      <c r="I1054" s="159" t="str">
        <f t="shared" si="50"/>
        <v/>
      </c>
    </row>
    <row r="1055" spans="1:9" hidden="1" x14ac:dyDescent="0.25">
      <c r="A1055" s="102" t="s">
        <v>4305</v>
      </c>
      <c r="B1055" s="103" t="s">
        <v>4306</v>
      </c>
      <c r="C1055" s="104" t="s">
        <v>3994</v>
      </c>
      <c r="D1055" s="104">
        <v>0</v>
      </c>
      <c r="E1055" s="158" t="s">
        <v>1079</v>
      </c>
      <c r="F1055" s="159" t="str">
        <f t="shared" si="48"/>
        <v/>
      </c>
      <c r="G1055" s="160" t="e">
        <f>IF(A1055&lt;&gt;"",IF(AND(#REF!="Padrão",$H$4=#REF!),BDI!$B$17,IF(AND(#REF!="Padrão",$H$4=#REF!),BDI!$C$17,IF(AND(#REF!="Diferenciado",$H$4=#REF!),BDI!$G$17,IF(AND(#REF!="Diferenciado",$H$4=#REF!),BDI!$H$17,IF(#REF!="ZERO",0))))),"")</f>
        <v>#REF!</v>
      </c>
      <c r="H1055" s="161" t="str">
        <f t="shared" si="49"/>
        <v/>
      </c>
      <c r="I1055" s="159" t="str">
        <f t="shared" si="50"/>
        <v/>
      </c>
    </row>
    <row r="1056" spans="1:9" hidden="1" x14ac:dyDescent="0.25">
      <c r="A1056" s="102" t="s">
        <v>4307</v>
      </c>
      <c r="B1056" s="103" t="s">
        <v>4308</v>
      </c>
      <c r="C1056" s="104" t="s">
        <v>3994</v>
      </c>
      <c r="D1056" s="104">
        <v>0</v>
      </c>
      <c r="E1056" s="158" t="s">
        <v>1079</v>
      </c>
      <c r="F1056" s="159" t="str">
        <f t="shared" si="48"/>
        <v/>
      </c>
      <c r="G1056" s="160" t="e">
        <f>IF(A1056&lt;&gt;"",IF(AND(#REF!="Padrão",$H$4=#REF!),BDI!$B$17,IF(AND(#REF!="Padrão",$H$4=#REF!),BDI!$C$17,IF(AND(#REF!="Diferenciado",$H$4=#REF!),BDI!$G$17,IF(AND(#REF!="Diferenciado",$H$4=#REF!),BDI!$H$17,IF(#REF!="ZERO",0))))),"")</f>
        <v>#REF!</v>
      </c>
      <c r="H1056" s="161" t="str">
        <f t="shared" si="49"/>
        <v/>
      </c>
      <c r="I1056" s="159" t="str">
        <f t="shared" si="50"/>
        <v/>
      </c>
    </row>
    <row r="1057" spans="1:9" hidden="1" x14ac:dyDescent="0.25">
      <c r="A1057" s="102" t="s">
        <v>4309</v>
      </c>
      <c r="B1057" s="103" t="s">
        <v>4310</v>
      </c>
      <c r="C1057" s="104" t="s">
        <v>3229</v>
      </c>
      <c r="D1057" s="104">
        <v>0</v>
      </c>
      <c r="E1057" s="158" t="s">
        <v>1079</v>
      </c>
      <c r="F1057" s="159" t="str">
        <f t="shared" si="48"/>
        <v/>
      </c>
      <c r="G1057" s="160" t="e">
        <f>IF(A1057&lt;&gt;"",IF(AND(#REF!="Padrão",$H$4=#REF!),BDI!$B$17,IF(AND(#REF!="Padrão",$H$4=#REF!),BDI!$C$17,IF(AND(#REF!="Diferenciado",$H$4=#REF!),BDI!$G$17,IF(AND(#REF!="Diferenciado",$H$4=#REF!),BDI!$H$17,IF(#REF!="ZERO",0))))),"")</f>
        <v>#REF!</v>
      </c>
      <c r="H1057" s="161" t="str">
        <f t="shared" si="49"/>
        <v/>
      </c>
      <c r="I1057" s="159" t="str">
        <f t="shared" si="50"/>
        <v/>
      </c>
    </row>
    <row r="1058" spans="1:9" hidden="1" x14ac:dyDescent="0.25">
      <c r="A1058" s="102" t="s">
        <v>2028</v>
      </c>
      <c r="B1058" s="103" t="s">
        <v>4311</v>
      </c>
      <c r="C1058" s="104" t="s">
        <v>189</v>
      </c>
      <c r="D1058" s="104">
        <v>0</v>
      </c>
      <c r="E1058" s="158">
        <f ca="1">OFFSET(INDEX(Composições!A:J,MATCH(Orçamentária!A1058,Composições!A:A,0),10),2,0)</f>
        <v>0.16092999999999999</v>
      </c>
      <c r="F1058" s="159">
        <f t="shared" ca="1" si="48"/>
        <v>0</v>
      </c>
      <c r="G1058" s="160" t="e">
        <f>IF(A1058&lt;&gt;"",IF(AND(#REF!="Padrão",$H$4=#REF!),BDI!$B$17,IF(AND(#REF!="Padrão",$H$4=#REF!),BDI!$C$17,IF(AND(#REF!="Diferenciado",$H$4=#REF!),BDI!$G$17,IF(AND(#REF!="Diferenciado",$H$4=#REF!),BDI!$H$17,IF(#REF!="ZERO",0))))),"")</f>
        <v>#REF!</v>
      </c>
      <c r="H1058" s="161" t="e">
        <f t="shared" ca="1" si="49"/>
        <v>#REF!</v>
      </c>
      <c r="I1058" s="159" t="e">
        <f t="shared" ca="1" si="50"/>
        <v>#REF!</v>
      </c>
    </row>
    <row r="1059" spans="1:9" hidden="1" x14ac:dyDescent="0.25">
      <c r="A1059" s="102" t="s">
        <v>2030</v>
      </c>
      <c r="B1059" s="103" t="s">
        <v>4312</v>
      </c>
      <c r="C1059" s="104" t="s">
        <v>189</v>
      </c>
      <c r="D1059" s="104">
        <v>0</v>
      </c>
      <c r="E1059" s="158">
        <f ca="1">OFFSET(INDEX(Composições!A:J,MATCH(Orçamentária!A1059,Composições!A:A,0),10),2,0)</f>
        <v>25.495979162089998</v>
      </c>
      <c r="F1059" s="159">
        <f t="shared" ca="1" si="48"/>
        <v>0</v>
      </c>
      <c r="G1059" s="160" t="e">
        <f>IF(A1059&lt;&gt;"",IF(AND(#REF!="Padrão",$H$4=#REF!),BDI!$B$17,IF(AND(#REF!="Padrão",$H$4=#REF!),BDI!$C$17,IF(AND(#REF!="Diferenciado",$H$4=#REF!),BDI!$G$17,IF(AND(#REF!="Diferenciado",$H$4=#REF!),BDI!$H$17,IF(#REF!="ZERO",0))))),"")</f>
        <v>#REF!</v>
      </c>
      <c r="H1059" s="161" t="e">
        <f t="shared" ca="1" si="49"/>
        <v>#REF!</v>
      </c>
      <c r="I1059" s="159" t="e">
        <f t="shared" ca="1" si="50"/>
        <v>#REF!</v>
      </c>
    </row>
    <row r="1060" spans="1:9" ht="25.5" hidden="1" x14ac:dyDescent="0.25">
      <c r="A1060" s="102" t="s">
        <v>4313</v>
      </c>
      <c r="B1060" s="103" t="s">
        <v>4314</v>
      </c>
      <c r="C1060" s="104" t="s">
        <v>32</v>
      </c>
      <c r="D1060" s="104">
        <v>0</v>
      </c>
      <c r="E1060" s="158" t="s">
        <v>1079</v>
      </c>
      <c r="F1060" s="159" t="str">
        <f t="shared" si="48"/>
        <v/>
      </c>
      <c r="G1060" s="160" t="e">
        <f>IF(A1060&lt;&gt;"",IF(AND(#REF!="Padrão",$H$4=#REF!),BDI!$B$17,IF(AND(#REF!="Padrão",$H$4=#REF!),BDI!$C$17,IF(AND(#REF!="Diferenciado",$H$4=#REF!),BDI!$G$17,IF(AND(#REF!="Diferenciado",$H$4=#REF!),BDI!$H$17,IF(#REF!="ZERO",0))))),"")</f>
        <v>#REF!</v>
      </c>
      <c r="H1060" s="161" t="str">
        <f t="shared" si="49"/>
        <v/>
      </c>
      <c r="I1060" s="159" t="str">
        <f t="shared" si="50"/>
        <v/>
      </c>
    </row>
    <row r="1061" spans="1:9" ht="25.5" hidden="1" x14ac:dyDescent="0.25">
      <c r="A1061" s="102" t="s">
        <v>4315</v>
      </c>
      <c r="B1061" s="103" t="s">
        <v>4316</v>
      </c>
      <c r="C1061" s="104" t="s">
        <v>32</v>
      </c>
      <c r="D1061" s="104">
        <v>0</v>
      </c>
      <c r="E1061" s="158" t="s">
        <v>1079</v>
      </c>
      <c r="F1061" s="159" t="str">
        <f t="shared" si="48"/>
        <v/>
      </c>
      <c r="G1061" s="160" t="e">
        <f>IF(A1061&lt;&gt;"",IF(AND(#REF!="Padrão",$H$4=#REF!),BDI!$B$17,IF(AND(#REF!="Padrão",$H$4=#REF!),BDI!$C$17,IF(AND(#REF!="Diferenciado",$H$4=#REF!),BDI!$G$17,IF(AND(#REF!="Diferenciado",$H$4=#REF!),BDI!$H$17,IF(#REF!="ZERO",0))))),"")</f>
        <v>#REF!</v>
      </c>
      <c r="H1061" s="161" t="str">
        <f t="shared" si="49"/>
        <v/>
      </c>
      <c r="I1061" s="159" t="str">
        <f t="shared" si="50"/>
        <v/>
      </c>
    </row>
    <row r="1062" spans="1:9" hidden="1" x14ac:dyDescent="0.25">
      <c r="A1062" s="102" t="s">
        <v>4317</v>
      </c>
      <c r="B1062" s="103" t="s">
        <v>4318</v>
      </c>
      <c r="C1062" s="104" t="s">
        <v>75</v>
      </c>
      <c r="D1062" s="104">
        <v>0</v>
      </c>
      <c r="E1062" s="158" t="s">
        <v>1079</v>
      </c>
      <c r="F1062" s="159" t="str">
        <f t="shared" si="48"/>
        <v/>
      </c>
      <c r="G1062" s="160" t="e">
        <f>IF(A1062&lt;&gt;"",IF(AND(#REF!="Padrão",$H$4=#REF!),BDI!$B$17,IF(AND(#REF!="Padrão",$H$4=#REF!),BDI!$C$17,IF(AND(#REF!="Diferenciado",$H$4=#REF!),BDI!$G$17,IF(AND(#REF!="Diferenciado",$H$4=#REF!),BDI!$H$17,IF(#REF!="ZERO",0))))),"")</f>
        <v>#REF!</v>
      </c>
      <c r="H1062" s="161" t="str">
        <f t="shared" si="49"/>
        <v/>
      </c>
      <c r="I1062" s="198" t="str">
        <f t="shared" si="50"/>
        <v/>
      </c>
    </row>
    <row r="1063" spans="1:9" x14ac:dyDescent="0.25">
      <c r="A1063" s="204" t="s">
        <v>4319</v>
      </c>
      <c r="B1063" s="205" t="s">
        <v>4320</v>
      </c>
      <c r="C1063" s="206" t="s">
        <v>32</v>
      </c>
      <c r="D1063" s="206">
        <v>1</v>
      </c>
      <c r="E1063" s="194">
        <v>2850</v>
      </c>
      <c r="F1063" s="159">
        <f t="shared" si="48"/>
        <v>2850</v>
      </c>
      <c r="G1063" s="160">
        <f>BDI!$H$17</f>
        <v>0.16719999999999999</v>
      </c>
      <c r="H1063" s="161">
        <f t="shared" si="49"/>
        <v>3326.52</v>
      </c>
      <c r="I1063" s="202">
        <f t="shared" si="50"/>
        <v>3326.52</v>
      </c>
    </row>
    <row r="1064" spans="1:9" x14ac:dyDescent="0.25">
      <c r="A1064" s="204" t="s">
        <v>2036</v>
      </c>
      <c r="B1064" s="205" t="s">
        <v>4321</v>
      </c>
      <c r="C1064" s="206" t="s">
        <v>189</v>
      </c>
      <c r="D1064" s="206">
        <v>26.42</v>
      </c>
      <c r="E1064" s="158">
        <f ca="1">OFFSET(INDEX(Composições!A:J,MATCH(Orçamentária!A1064,Composições!A:A,0),10),2,0)</f>
        <v>463.74000420000004</v>
      </c>
      <c r="F1064" s="159">
        <f t="shared" ca="1" si="48"/>
        <v>12252.010910964002</v>
      </c>
      <c r="G1064" s="160">
        <f>BDI!$C$17</f>
        <v>0.24479999999999999</v>
      </c>
      <c r="H1064" s="161">
        <f t="shared" ca="1" si="49"/>
        <v>577.26</v>
      </c>
      <c r="I1064" s="199">
        <f t="shared" ca="1" si="50"/>
        <v>15251.21</v>
      </c>
    </row>
    <row r="1065" spans="1:9" x14ac:dyDescent="0.25">
      <c r="A1065" s="204" t="s">
        <v>2039</v>
      </c>
      <c r="B1065" s="205" t="s">
        <v>4322</v>
      </c>
      <c r="C1065" s="206" t="s">
        <v>189</v>
      </c>
      <c r="D1065" s="206">
        <v>10</v>
      </c>
      <c r="E1065" s="158">
        <f ca="1">OFFSET(INDEX(Composições!A:J,MATCH(Orçamentária!A1065,Composições!A:A,0),10),2,0)</f>
        <v>393.07745394999995</v>
      </c>
      <c r="F1065" s="159">
        <f t="shared" ca="1" si="48"/>
        <v>3930.7745394999993</v>
      </c>
      <c r="G1065" s="160">
        <f>BDI!$C$17</f>
        <v>0.24479999999999999</v>
      </c>
      <c r="H1065" s="161">
        <f t="shared" ca="1" si="49"/>
        <v>489.3</v>
      </c>
      <c r="I1065" s="199">
        <f t="shared" ca="1" si="50"/>
        <v>4893</v>
      </c>
    </row>
    <row r="1066" spans="1:9" x14ac:dyDescent="0.25">
      <c r="A1066" s="204" t="s">
        <v>2048</v>
      </c>
      <c r="B1066" s="205" t="s">
        <v>4323</v>
      </c>
      <c r="C1066" s="206" t="s">
        <v>189</v>
      </c>
      <c r="D1066" s="206">
        <v>3</v>
      </c>
      <c r="E1066" s="158">
        <f ca="1">OFFSET(INDEX(Composições!A:J,MATCH(Orçamentária!A1066,Composições!A:A,0),10),2,0)</f>
        <v>332.80678065000001</v>
      </c>
      <c r="F1066" s="159">
        <f t="shared" ca="1" si="48"/>
        <v>998.42034194999997</v>
      </c>
      <c r="G1066" s="160">
        <f>BDI!$C$17</f>
        <v>0.24479999999999999</v>
      </c>
      <c r="H1066" s="161">
        <f t="shared" ca="1" si="49"/>
        <v>414.28</v>
      </c>
      <c r="I1066" s="199">
        <f t="shared" ca="1" si="50"/>
        <v>1242.8399999999999</v>
      </c>
    </row>
    <row r="1067" spans="1:9" x14ac:dyDescent="0.25">
      <c r="A1067" s="204" t="s">
        <v>2054</v>
      </c>
      <c r="B1067" s="205" t="s">
        <v>4324</v>
      </c>
      <c r="C1067" s="206" t="s">
        <v>189</v>
      </c>
      <c r="D1067" s="206">
        <v>22.7</v>
      </c>
      <c r="E1067" s="158">
        <f ca="1">OFFSET(INDEX(Composições!A:J,MATCH(Orçamentária!A1067,Composições!A:A,0),10),2,0)</f>
        <v>229.40130690499998</v>
      </c>
      <c r="F1067" s="159">
        <f t="shared" ca="1" si="48"/>
        <v>5207.4096667434997</v>
      </c>
      <c r="G1067" s="160">
        <f>BDI!$C$17</f>
        <v>0.24479999999999999</v>
      </c>
      <c r="H1067" s="161">
        <f t="shared" ca="1" si="49"/>
        <v>285.56</v>
      </c>
      <c r="I1067" s="199">
        <f t="shared" ca="1" si="50"/>
        <v>6482.21</v>
      </c>
    </row>
    <row r="1068" spans="1:9" x14ac:dyDescent="0.25">
      <c r="A1068" s="204" t="s">
        <v>2059</v>
      </c>
      <c r="B1068" s="205" t="s">
        <v>4325</v>
      </c>
      <c r="C1068" s="206" t="s">
        <v>32</v>
      </c>
      <c r="D1068" s="206">
        <v>4</v>
      </c>
      <c r="E1068" s="158">
        <f ca="1">OFFSET(INDEX(Composições!A:J,MATCH(Orçamentária!A1068,Composições!A:A,0),10),2,0)</f>
        <v>1682.1884725499999</v>
      </c>
      <c r="F1068" s="159">
        <f t="shared" ca="1" si="48"/>
        <v>6728.7538901999997</v>
      </c>
      <c r="G1068" s="160">
        <f>BDI!$H$17</f>
        <v>0.16719999999999999</v>
      </c>
      <c r="H1068" s="161">
        <f t="shared" ca="1" si="49"/>
        <v>1963.45</v>
      </c>
      <c r="I1068" s="199">
        <f t="shared" ca="1" si="50"/>
        <v>7853.8</v>
      </c>
    </row>
    <row r="1069" spans="1:9" x14ac:dyDescent="0.25">
      <c r="A1069" s="204" t="s">
        <v>2078</v>
      </c>
      <c r="B1069" s="205" t="s">
        <v>4326</v>
      </c>
      <c r="C1069" s="206" t="s">
        <v>32</v>
      </c>
      <c r="D1069" s="206">
        <v>9</v>
      </c>
      <c r="E1069" s="158">
        <f ca="1">OFFSET(INDEX(Composições!A:J,MATCH(Orçamentária!A1069,Composições!A:A,0),10),2,0)</f>
        <v>193.162014</v>
      </c>
      <c r="F1069" s="159">
        <f t="shared" ca="1" si="48"/>
        <v>1738.458126</v>
      </c>
      <c r="G1069" s="160">
        <f>BDI!$C$17</f>
        <v>0.24479999999999999</v>
      </c>
      <c r="H1069" s="161">
        <f t="shared" ca="1" si="49"/>
        <v>240.45</v>
      </c>
      <c r="I1069" s="199">
        <f t="shared" ca="1" si="50"/>
        <v>2164.0500000000002</v>
      </c>
    </row>
    <row r="1070" spans="1:9" x14ac:dyDescent="0.25">
      <c r="A1070" s="204" t="s">
        <v>2082</v>
      </c>
      <c r="B1070" s="205" t="s">
        <v>4327</v>
      </c>
      <c r="C1070" s="206" t="s">
        <v>228</v>
      </c>
      <c r="D1070" s="206">
        <v>7.24</v>
      </c>
      <c r="E1070" s="158">
        <f ca="1">OFFSET(INDEX(Composições!A:J,MATCH(Orçamentária!A1070,Composições!A:A,0),10),2,0)</f>
        <v>2274.8714896834099</v>
      </c>
      <c r="F1070" s="159">
        <f t="shared" ca="1" si="48"/>
        <v>16470.069585307887</v>
      </c>
      <c r="G1070" s="160">
        <f>BDI!$C$17</f>
        <v>0.24479999999999999</v>
      </c>
      <c r="H1070" s="161">
        <f t="shared" ca="1" si="49"/>
        <v>2831.76</v>
      </c>
      <c r="I1070" s="199">
        <f t="shared" ca="1" si="50"/>
        <v>20501.939999999999</v>
      </c>
    </row>
    <row r="1071" spans="1:9" x14ac:dyDescent="0.25">
      <c r="A1071" s="204" t="s">
        <v>2102</v>
      </c>
      <c r="B1071" s="205" t="s">
        <v>4328</v>
      </c>
      <c r="C1071" s="206" t="s">
        <v>184</v>
      </c>
      <c r="D1071" s="206">
        <v>70</v>
      </c>
      <c r="E1071" s="158">
        <f ca="1">OFFSET(INDEX(Composições!A:J,MATCH(Orçamentária!A1071,Composições!A:A,0),10),2,0)</f>
        <v>14.39687</v>
      </c>
      <c r="F1071" s="159">
        <f t="shared" ca="1" si="48"/>
        <v>1007.7809</v>
      </c>
      <c r="G1071" s="160">
        <f>BDI!$C$17</f>
        <v>0.24479999999999999</v>
      </c>
      <c r="H1071" s="161">
        <f t="shared" ca="1" si="49"/>
        <v>17.920000000000002</v>
      </c>
      <c r="I1071" s="199">
        <f t="shared" ca="1" si="50"/>
        <v>1254.4000000000001</v>
      </c>
    </row>
    <row r="1072" spans="1:9" x14ac:dyDescent="0.25">
      <c r="A1072" s="204" t="s">
        <v>4329</v>
      </c>
      <c r="B1072" s="205" t="s">
        <v>4330</v>
      </c>
      <c r="C1072" s="206" t="s">
        <v>32</v>
      </c>
      <c r="D1072" s="206">
        <v>4</v>
      </c>
      <c r="E1072" s="194">
        <v>577.5</v>
      </c>
      <c r="F1072" s="159">
        <f t="shared" si="48"/>
        <v>2310</v>
      </c>
      <c r="G1072" s="160">
        <f>BDI!$H$17</f>
        <v>0.16719999999999999</v>
      </c>
      <c r="H1072" s="161">
        <f t="shared" si="49"/>
        <v>674.06</v>
      </c>
      <c r="I1072" s="199">
        <f t="shared" si="50"/>
        <v>2696.24</v>
      </c>
    </row>
    <row r="1073" spans="1:9" x14ac:dyDescent="0.25">
      <c r="A1073" s="204" t="s">
        <v>2108</v>
      </c>
      <c r="B1073" s="205" t="s">
        <v>4331</v>
      </c>
      <c r="C1073" s="206" t="s">
        <v>184</v>
      </c>
      <c r="D1073" s="206">
        <v>12.6</v>
      </c>
      <c r="E1073" s="158">
        <f ca="1">OFFSET(INDEX(Composições!A:J,MATCH(Orçamentária!A1073,Composições!A:A,0),10),2,0)</f>
        <v>73.883874999999989</v>
      </c>
      <c r="F1073" s="159">
        <f t="shared" ca="1" si="48"/>
        <v>930.93682499999989</v>
      </c>
      <c r="G1073" s="160">
        <f>BDI!$C$17</f>
        <v>0.24479999999999999</v>
      </c>
      <c r="H1073" s="161">
        <f t="shared" ca="1" si="49"/>
        <v>91.97</v>
      </c>
      <c r="I1073" s="199">
        <f t="shared" ca="1" si="50"/>
        <v>1158.82</v>
      </c>
    </row>
    <row r="1074" spans="1:9" x14ac:dyDescent="0.25">
      <c r="A1074" s="204" t="s">
        <v>2112</v>
      </c>
      <c r="B1074" s="205" t="s">
        <v>4332</v>
      </c>
      <c r="C1074" s="206" t="s">
        <v>184</v>
      </c>
      <c r="D1074" s="206">
        <v>15</v>
      </c>
      <c r="E1074" s="158">
        <f ca="1">OFFSET(INDEX(Composições!A:J,MATCH(Orçamentária!A1074,Composições!A:A,0),10),2,0)</f>
        <v>98.69939500000001</v>
      </c>
      <c r="F1074" s="159">
        <f t="shared" ca="1" si="48"/>
        <v>1480.4909250000001</v>
      </c>
      <c r="G1074" s="160">
        <f>BDI!$C$17</f>
        <v>0.24479999999999999</v>
      </c>
      <c r="H1074" s="161">
        <f t="shared" ca="1" si="49"/>
        <v>122.86</v>
      </c>
      <c r="I1074" s="199">
        <f t="shared" ca="1" si="50"/>
        <v>1842.9</v>
      </c>
    </row>
    <row r="1075" spans="1:9" x14ac:dyDescent="0.25">
      <c r="A1075" s="204" t="s">
        <v>2117</v>
      </c>
      <c r="B1075" s="205" t="s">
        <v>4333</v>
      </c>
      <c r="C1075" s="206" t="s">
        <v>189</v>
      </c>
      <c r="D1075" s="206">
        <v>2.59</v>
      </c>
      <c r="E1075" s="158">
        <f ca="1">OFFSET(INDEX(Composições!A:J,MATCH(Orçamentária!A1075,Composições!A:A,0),10),2,0)</f>
        <v>474.72896309999999</v>
      </c>
      <c r="F1075" s="159">
        <f t="shared" ca="1" si="48"/>
        <v>1229.548014429</v>
      </c>
      <c r="G1075" s="160">
        <f>BDI!$C$17</f>
        <v>0.24479999999999999</v>
      </c>
      <c r="H1075" s="161">
        <f t="shared" ca="1" si="49"/>
        <v>590.94000000000005</v>
      </c>
      <c r="I1075" s="199">
        <f t="shared" ca="1" si="50"/>
        <v>1530.53</v>
      </c>
    </row>
    <row r="1076" spans="1:9" x14ac:dyDescent="0.25">
      <c r="A1076" s="204" t="s">
        <v>2119</v>
      </c>
      <c r="B1076" s="205" t="s">
        <v>4334</v>
      </c>
      <c r="C1076" s="206" t="s">
        <v>32</v>
      </c>
      <c r="D1076" s="206">
        <v>17</v>
      </c>
      <c r="E1076" s="158">
        <f ca="1">OFFSET(INDEX(Composições!A:J,MATCH(Orçamentária!A1076,Composições!A:A,0),10),2,0)</f>
        <v>273.88232600000003</v>
      </c>
      <c r="F1076" s="159">
        <f t="shared" ca="1" si="48"/>
        <v>4655.9995420000005</v>
      </c>
      <c r="G1076" s="160">
        <f>BDI!$C$17</f>
        <v>0.24479999999999999</v>
      </c>
      <c r="H1076" s="161">
        <f t="shared" ca="1" si="49"/>
        <v>340.93</v>
      </c>
      <c r="I1076" s="199">
        <f t="shared" ca="1" si="50"/>
        <v>5795.81</v>
      </c>
    </row>
    <row r="1077" spans="1:9" x14ac:dyDescent="0.25">
      <c r="A1077" s="204" t="s">
        <v>2121</v>
      </c>
      <c r="B1077" s="205" t="s">
        <v>4335</v>
      </c>
      <c r="C1077" s="206" t="s">
        <v>189</v>
      </c>
      <c r="D1077" s="206">
        <v>360</v>
      </c>
      <c r="E1077" s="158">
        <f ca="1">OFFSET(INDEX(Composições!A:J,MATCH(Orçamentária!A1077,Composições!A:A,0),10),2,0)</f>
        <v>20.102308749999999</v>
      </c>
      <c r="F1077" s="159">
        <f t="shared" ca="1" si="48"/>
        <v>7236.83115</v>
      </c>
      <c r="G1077" s="160">
        <f>BDI!$C$17</f>
        <v>0.24479999999999999</v>
      </c>
      <c r="H1077" s="161">
        <f t="shared" ca="1" si="49"/>
        <v>25.02</v>
      </c>
      <c r="I1077" s="199">
        <f t="shared" ca="1" si="50"/>
        <v>9007.2000000000007</v>
      </c>
    </row>
    <row r="1078" spans="1:9" x14ac:dyDescent="0.25">
      <c r="A1078" s="204" t="s">
        <v>2124</v>
      </c>
      <c r="B1078" s="205" t="s">
        <v>4336</v>
      </c>
      <c r="C1078" s="206" t="s">
        <v>189</v>
      </c>
      <c r="D1078" s="206">
        <v>6.12</v>
      </c>
      <c r="E1078" s="158">
        <f ca="1">OFFSET(INDEX(Composições!A:J,MATCH(Orçamentária!A1078,Composições!A:A,0),10),2,0)</f>
        <v>502.31001071157499</v>
      </c>
      <c r="F1078" s="159">
        <f t="shared" ca="1" si="48"/>
        <v>3074.1372655548389</v>
      </c>
      <c r="G1078" s="160">
        <f>BDI!$C$17</f>
        <v>0.24479999999999999</v>
      </c>
      <c r="H1078" s="161">
        <f t="shared" ca="1" si="49"/>
        <v>625.28</v>
      </c>
      <c r="I1078" s="199">
        <f t="shared" ca="1" si="50"/>
        <v>3826.71</v>
      </c>
    </row>
    <row r="1079" spans="1:9" x14ac:dyDescent="0.25">
      <c r="A1079" s="204" t="s">
        <v>2126</v>
      </c>
      <c r="B1079" s="205" t="s">
        <v>4337</v>
      </c>
      <c r="C1079" s="206" t="s">
        <v>32</v>
      </c>
      <c r="D1079" s="206">
        <v>2</v>
      </c>
      <c r="E1079" s="158">
        <f ca="1">OFFSET(INDEX(Composições!A:J,MATCH(Orçamentária!A1079,Composições!A:A,0),10),2,0)</f>
        <v>120.03284335089998</v>
      </c>
      <c r="F1079" s="159">
        <f t="shared" ca="1" si="48"/>
        <v>240.06568670179996</v>
      </c>
      <c r="G1079" s="160">
        <f>BDI!$C$17</f>
        <v>0.24479999999999999</v>
      </c>
      <c r="H1079" s="161">
        <f t="shared" ca="1" si="49"/>
        <v>149.41999999999999</v>
      </c>
      <c r="I1079" s="199">
        <f t="shared" ca="1" si="50"/>
        <v>298.83999999999997</v>
      </c>
    </row>
    <row r="1080" spans="1:9" hidden="1" x14ac:dyDescent="0.25">
      <c r="A1080" s="102" t="s">
        <v>4338</v>
      </c>
      <c r="B1080" s="103" t="s">
        <v>4339</v>
      </c>
      <c r="C1080" s="104" t="s">
        <v>32</v>
      </c>
      <c r="D1080" s="104">
        <v>0</v>
      </c>
      <c r="E1080" s="158" t="s">
        <v>1079</v>
      </c>
      <c r="F1080" s="159" t="str">
        <f t="shared" si="48"/>
        <v/>
      </c>
      <c r="G1080" s="160" t="e">
        <f>IF(A1080&lt;&gt;"",IF(AND(#REF!="Padrão",$H$4=#REF!),BDI!$B$17,IF(AND(#REF!="Padrão",$H$4=#REF!),BDI!$C$17,IF(AND(#REF!="Diferenciado",$H$4=#REF!),BDI!$G$17,IF(AND(#REF!="Diferenciado",$H$4=#REF!),BDI!$H$17,IF(#REF!="ZERO",0))))),"")</f>
        <v>#REF!</v>
      </c>
      <c r="H1080" s="161" t="str">
        <f t="shared" si="49"/>
        <v/>
      </c>
      <c r="I1080" s="159" t="str">
        <f t="shared" si="50"/>
        <v/>
      </c>
    </row>
    <row r="1081" spans="1:9" hidden="1" x14ac:dyDescent="0.25">
      <c r="A1081" s="102" t="s">
        <v>2129</v>
      </c>
      <c r="B1081" s="103" t="s">
        <v>4340</v>
      </c>
      <c r="C1081" s="104" t="s">
        <v>189</v>
      </c>
      <c r="D1081" s="104">
        <v>0</v>
      </c>
      <c r="E1081" s="158">
        <f ca="1">OFFSET(INDEX(Composições!A:J,MATCH(Orçamentária!A1081,Composições!A:A,0),10),2,0)</f>
        <v>22.951049999999999</v>
      </c>
      <c r="F1081" s="159">
        <f t="shared" ca="1" si="48"/>
        <v>0</v>
      </c>
      <c r="G1081" s="160" t="e">
        <f>IF(A1081&lt;&gt;"",IF(AND(#REF!="Padrão",$H$4=#REF!),BDI!$B$17,IF(AND(#REF!="Padrão",$H$4=#REF!),BDI!$C$17,IF(AND(#REF!="Diferenciado",$H$4=#REF!),BDI!$G$17,IF(AND(#REF!="Diferenciado",$H$4=#REF!),BDI!$H$17,IF(#REF!="ZERO",0))))),"")</f>
        <v>#REF!</v>
      </c>
      <c r="H1081" s="161" t="e">
        <f t="shared" ca="1" si="49"/>
        <v>#REF!</v>
      </c>
      <c r="I1081" s="198" t="e">
        <f t="shared" ca="1" si="50"/>
        <v>#REF!</v>
      </c>
    </row>
    <row r="1082" spans="1:9" x14ac:dyDescent="0.25">
      <c r="A1082" s="204" t="s">
        <v>2131</v>
      </c>
      <c r="B1082" s="205" t="s">
        <v>4341</v>
      </c>
      <c r="C1082" s="206" t="s">
        <v>228</v>
      </c>
      <c r="D1082" s="206">
        <v>45.5</v>
      </c>
      <c r="E1082" s="158">
        <f ca="1">OFFSET(INDEX(Composições!A:J,MATCH(Orçamentária!A1082,Composições!A:A,0),10),2,0)</f>
        <v>141.51463624999997</v>
      </c>
      <c r="F1082" s="159">
        <f t="shared" ca="1" si="48"/>
        <v>6438.9159493749985</v>
      </c>
      <c r="G1082" s="160">
        <f>BDI!$C$17</f>
        <v>0.24479999999999999</v>
      </c>
      <c r="H1082" s="161">
        <f t="shared" ca="1" si="49"/>
        <v>176.16</v>
      </c>
      <c r="I1082" s="202">
        <f t="shared" ca="1" si="50"/>
        <v>8015.28</v>
      </c>
    </row>
    <row r="1083" spans="1:9" hidden="1" x14ac:dyDescent="0.25">
      <c r="A1083" s="102" t="s">
        <v>2136</v>
      </c>
      <c r="B1083" s="103" t="s">
        <v>4342</v>
      </c>
      <c r="C1083" s="104" t="s">
        <v>184</v>
      </c>
      <c r="D1083" s="104">
        <v>0</v>
      </c>
      <c r="E1083" s="158">
        <f ca="1">OFFSET(INDEX(Composições!A:J,MATCH(Orçamentária!A1083,Composições!A:A,0),10),2,0)</f>
        <v>734.03889399999991</v>
      </c>
      <c r="F1083" s="159">
        <f t="shared" ca="1" si="48"/>
        <v>0</v>
      </c>
      <c r="G1083" s="160" t="e">
        <f>IF(A1083&lt;&gt;"",IF(AND(#REF!="Padrão",$H$4=#REF!),BDI!$B$17,IF(AND(#REF!="Padrão",$H$4=#REF!),BDI!$C$17,IF(AND(#REF!="Diferenciado",$H$4=#REF!),BDI!$G$17,IF(AND(#REF!="Diferenciado",$H$4=#REF!),BDI!$H$17,IF(#REF!="ZERO",0))))),"")</f>
        <v>#REF!</v>
      </c>
      <c r="H1083" s="161" t="e">
        <f t="shared" ca="1" si="49"/>
        <v>#REF!</v>
      </c>
      <c r="I1083" s="198" t="e">
        <f t="shared" ca="1" si="50"/>
        <v>#REF!</v>
      </c>
    </row>
    <row r="1084" spans="1:9" x14ac:dyDescent="0.25">
      <c r="A1084" s="204" t="s">
        <v>4343</v>
      </c>
      <c r="B1084" s="205" t="s">
        <v>4344</v>
      </c>
      <c r="C1084" s="206" t="s">
        <v>189</v>
      </c>
      <c r="D1084" s="206">
        <v>56.33</v>
      </c>
      <c r="E1084" s="194">
        <v>90</v>
      </c>
      <c r="F1084" s="159">
        <f t="shared" si="48"/>
        <v>5069.7</v>
      </c>
      <c r="G1084" s="160">
        <f>BDI!$H$17</f>
        <v>0.16719999999999999</v>
      </c>
      <c r="H1084" s="161">
        <f t="shared" si="49"/>
        <v>105.05</v>
      </c>
      <c r="I1084" s="202">
        <f t="shared" si="50"/>
        <v>5917.47</v>
      </c>
    </row>
    <row r="1085" spans="1:9" x14ac:dyDescent="0.25">
      <c r="A1085" s="204" t="s">
        <v>2149</v>
      </c>
      <c r="B1085" s="205" t="s">
        <v>4345</v>
      </c>
      <c r="C1085" s="206" t="s">
        <v>184</v>
      </c>
      <c r="D1085" s="206">
        <v>4</v>
      </c>
      <c r="E1085" s="158">
        <f ca="1">OFFSET(INDEX(Composições!A:J,MATCH(Orçamentária!A1085,Composições!A:A,0),10),2,0)</f>
        <v>9.2925500000000003</v>
      </c>
      <c r="F1085" s="159">
        <f t="shared" ca="1" si="48"/>
        <v>37.170200000000001</v>
      </c>
      <c r="G1085" s="160">
        <f>BDI!$C$17</f>
        <v>0.24479999999999999</v>
      </c>
      <c r="H1085" s="161">
        <f t="shared" ca="1" si="49"/>
        <v>11.57</v>
      </c>
      <c r="I1085" s="199">
        <f t="shared" ca="1" si="50"/>
        <v>46.28</v>
      </c>
    </row>
    <row r="1086" spans="1:9" hidden="1" x14ac:dyDescent="0.25">
      <c r="A1086" s="102" t="s">
        <v>4346</v>
      </c>
      <c r="B1086" s="103" t="s">
        <v>4347</v>
      </c>
      <c r="C1086" s="104" t="s">
        <v>184</v>
      </c>
      <c r="D1086" s="104">
        <v>0</v>
      </c>
      <c r="E1086" s="158" t="s">
        <v>1079</v>
      </c>
      <c r="F1086" s="159" t="str">
        <f t="shared" si="48"/>
        <v/>
      </c>
      <c r="G1086" s="160" t="e">
        <f>IF(A1086&lt;&gt;"",IF(AND(#REF!="Padrão",$H$4=#REF!),BDI!$B$17,IF(AND(#REF!="Padrão",$H$4=#REF!),BDI!$C$17,IF(AND(#REF!="Diferenciado",$H$4=#REF!),BDI!$G$17,IF(AND(#REF!="Diferenciado",$H$4=#REF!),BDI!$H$17,IF(#REF!="ZERO",0))))),"")</f>
        <v>#REF!</v>
      </c>
      <c r="H1086" s="161" t="str">
        <f t="shared" si="49"/>
        <v/>
      </c>
      <c r="I1086" s="159" t="str">
        <f t="shared" si="50"/>
        <v/>
      </c>
    </row>
    <row r="1087" spans="1:9" hidden="1" x14ac:dyDescent="0.25">
      <c r="A1087" s="102" t="s">
        <v>2151</v>
      </c>
      <c r="B1087" s="103" t="s">
        <v>4348</v>
      </c>
      <c r="C1087" s="104" t="s">
        <v>21</v>
      </c>
      <c r="D1087" s="104">
        <v>0</v>
      </c>
      <c r="E1087" s="158">
        <f ca="1">OFFSET(INDEX(Composições!A:J,MATCH(Orçamentária!A1087,Composições!A:A,0),10),2,0)</f>
        <v>2.4414999999999996</v>
      </c>
      <c r="F1087" s="159">
        <f t="shared" ca="1" si="48"/>
        <v>0</v>
      </c>
      <c r="G1087" s="160" t="e">
        <f>IF(A1087&lt;&gt;"",IF(AND(#REF!="Padrão",$H$4=#REF!),BDI!$B$17,IF(AND(#REF!="Padrão",$H$4=#REF!),BDI!$C$17,IF(AND(#REF!="Diferenciado",$H$4=#REF!),BDI!$G$17,IF(AND(#REF!="Diferenciado",$H$4=#REF!),BDI!$H$17,IF(#REF!="ZERO",0))))),"")</f>
        <v>#REF!</v>
      </c>
      <c r="H1087" s="161" t="e">
        <f t="shared" ca="1" si="49"/>
        <v>#REF!</v>
      </c>
      <c r="I1087" s="159" t="e">
        <f t="shared" ca="1" si="50"/>
        <v>#REF!</v>
      </c>
    </row>
    <row r="1088" spans="1:9" hidden="1" x14ac:dyDescent="0.25">
      <c r="A1088" s="102" t="s">
        <v>2154</v>
      </c>
      <c r="B1088" s="103" t="s">
        <v>4349</v>
      </c>
      <c r="C1088" s="104" t="s">
        <v>21</v>
      </c>
      <c r="D1088" s="104">
        <v>0</v>
      </c>
      <c r="E1088" s="158">
        <f ca="1">OFFSET(INDEX(Composições!A:J,MATCH(Orçamentária!A1088,Composições!A:A,0),10),2,0)</f>
        <v>1.3566</v>
      </c>
      <c r="F1088" s="159">
        <f t="shared" ca="1" si="48"/>
        <v>0</v>
      </c>
      <c r="G1088" s="160" t="e">
        <f>IF(A1088&lt;&gt;"",IF(AND(#REF!="Padrão",$H$4=#REF!),BDI!$B$17,IF(AND(#REF!="Padrão",$H$4=#REF!),BDI!$C$17,IF(AND(#REF!="Diferenciado",$H$4=#REF!),BDI!$G$17,IF(AND(#REF!="Diferenciado",$H$4=#REF!),BDI!$H$17,IF(#REF!="ZERO",0))))),"")</f>
        <v>#REF!</v>
      </c>
      <c r="H1088" s="161" t="e">
        <f t="shared" ca="1" si="49"/>
        <v>#REF!</v>
      </c>
      <c r="I1088" s="159" t="e">
        <f t="shared" ca="1" si="50"/>
        <v>#REF!</v>
      </c>
    </row>
    <row r="1089" spans="1:9" hidden="1" x14ac:dyDescent="0.25">
      <c r="A1089" s="102" t="s">
        <v>4350</v>
      </c>
      <c r="B1089" s="103" t="s">
        <v>4351</v>
      </c>
      <c r="C1089" s="104" t="s">
        <v>32</v>
      </c>
      <c r="D1089" s="104">
        <v>0</v>
      </c>
      <c r="E1089" s="158" t="s">
        <v>1079</v>
      </c>
      <c r="F1089" s="159" t="str">
        <f t="shared" si="48"/>
        <v/>
      </c>
      <c r="G1089" s="160" t="e">
        <f>IF(A1089&lt;&gt;"",IF(AND(#REF!="Padrão",$H$4=#REF!),BDI!$B$17,IF(AND(#REF!="Padrão",$H$4=#REF!),BDI!$C$17,IF(AND(#REF!="Diferenciado",$H$4=#REF!),BDI!$G$17,IF(AND(#REF!="Diferenciado",$H$4=#REF!),BDI!$H$17,IF(#REF!="ZERO",0))))),"")</f>
        <v>#REF!</v>
      </c>
      <c r="H1089" s="161" t="str">
        <f t="shared" si="49"/>
        <v/>
      </c>
      <c r="I1089" s="159" t="str">
        <f t="shared" si="50"/>
        <v/>
      </c>
    </row>
    <row r="1090" spans="1:9" hidden="1" x14ac:dyDescent="0.25">
      <c r="A1090" s="102" t="s">
        <v>4352</v>
      </c>
      <c r="B1090" s="103" t="s">
        <v>4353</v>
      </c>
      <c r="C1090" s="104" t="s">
        <v>32</v>
      </c>
      <c r="D1090" s="104">
        <v>0</v>
      </c>
      <c r="E1090" s="158" t="s">
        <v>1079</v>
      </c>
      <c r="F1090" s="159" t="str">
        <f t="shared" si="48"/>
        <v/>
      </c>
      <c r="G1090" s="160" t="e">
        <f>IF(A1090&lt;&gt;"",IF(AND(#REF!="Padrão",$H$4=#REF!),BDI!$B$17,IF(AND(#REF!="Padrão",$H$4=#REF!),BDI!$C$17,IF(AND(#REF!="Diferenciado",$H$4=#REF!),BDI!$G$17,IF(AND(#REF!="Diferenciado",$H$4=#REF!),BDI!$H$17,IF(#REF!="ZERO",0))))),"")</f>
        <v>#REF!</v>
      </c>
      <c r="H1090" s="161" t="str">
        <f t="shared" si="49"/>
        <v/>
      </c>
      <c r="I1090" s="198" t="str">
        <f t="shared" si="50"/>
        <v/>
      </c>
    </row>
    <row r="1091" spans="1:9" x14ac:dyDescent="0.25">
      <c r="A1091" s="204" t="s">
        <v>4354</v>
      </c>
      <c r="B1091" s="205" t="s">
        <v>4355</v>
      </c>
      <c r="C1091" s="206" t="s">
        <v>32</v>
      </c>
      <c r="D1091" s="206">
        <v>1</v>
      </c>
      <c r="E1091" s="194">
        <v>156950</v>
      </c>
      <c r="F1091" s="159">
        <f t="shared" si="48"/>
        <v>156950</v>
      </c>
      <c r="G1091" s="160">
        <f>BDI!$H$17</f>
        <v>0.16719999999999999</v>
      </c>
      <c r="H1091" s="161">
        <f t="shared" si="49"/>
        <v>183192.04</v>
      </c>
      <c r="I1091" s="202">
        <f t="shared" si="50"/>
        <v>183192.04</v>
      </c>
    </row>
    <row r="1092" spans="1:9" hidden="1" x14ac:dyDescent="0.25">
      <c r="A1092" s="102" t="s">
        <v>4356</v>
      </c>
      <c r="B1092" s="103" t="s">
        <v>4357</v>
      </c>
      <c r="C1092" s="104" t="s">
        <v>3229</v>
      </c>
      <c r="D1092" s="104">
        <v>0</v>
      </c>
      <c r="E1092" s="158" t="s">
        <v>1079</v>
      </c>
      <c r="F1092" s="159" t="str">
        <f t="shared" si="48"/>
        <v/>
      </c>
      <c r="G1092" s="160" t="e">
        <f>IF(A1092&lt;&gt;"",IF(AND(#REF!="Padrão",$H$4=#REF!),BDI!$B$17,IF(AND(#REF!="Padrão",$H$4=#REF!),BDI!$C$17,IF(AND(#REF!="Diferenciado",$H$4=#REF!),BDI!$G$17,IF(AND(#REF!="Diferenciado",$H$4=#REF!),BDI!$H$17,IF(#REF!="ZERO",0))))),"")</f>
        <v>#REF!</v>
      </c>
      <c r="H1092" s="161" t="str">
        <f t="shared" si="49"/>
        <v/>
      </c>
      <c r="I1092" s="159" t="str">
        <f t="shared" si="50"/>
        <v/>
      </c>
    </row>
    <row r="1093" spans="1:9" hidden="1" x14ac:dyDescent="0.25">
      <c r="A1093" s="102" t="s">
        <v>2157</v>
      </c>
      <c r="B1093" s="103" t="s">
        <v>4358</v>
      </c>
      <c r="C1093" s="104" t="s">
        <v>32</v>
      </c>
      <c r="D1093" s="104">
        <v>0</v>
      </c>
      <c r="E1093" s="158">
        <f ca="1">OFFSET(INDEX(Composições!A:J,MATCH(Orçamentária!A1093,Composições!A:A,0),10),2,0)</f>
        <v>30.440994399999997</v>
      </c>
      <c r="F1093" s="159">
        <f t="shared" ca="1" si="48"/>
        <v>0</v>
      </c>
      <c r="G1093" s="160" t="e">
        <f>IF(A1093&lt;&gt;"",IF(AND(#REF!="Padrão",$H$4=#REF!),BDI!$B$17,IF(AND(#REF!="Padrão",$H$4=#REF!),BDI!$C$17,IF(AND(#REF!="Diferenciado",$H$4=#REF!),BDI!$G$17,IF(AND(#REF!="Diferenciado",$H$4=#REF!),BDI!$H$17,IF(#REF!="ZERO",0))))),"")</f>
        <v>#REF!</v>
      </c>
      <c r="H1093" s="161" t="e">
        <f t="shared" ca="1" si="49"/>
        <v>#REF!</v>
      </c>
      <c r="I1093" s="159" t="e">
        <f t="shared" ca="1" si="50"/>
        <v>#REF!</v>
      </c>
    </row>
    <row r="1094" spans="1:9" hidden="1" x14ac:dyDescent="0.25">
      <c r="A1094" s="102" t="s">
        <v>2166</v>
      </c>
      <c r="B1094" s="103" t="s">
        <v>4359</v>
      </c>
      <c r="C1094" s="104" t="s">
        <v>32</v>
      </c>
      <c r="D1094" s="104">
        <v>0</v>
      </c>
      <c r="E1094" s="158">
        <f ca="1">OFFSET(INDEX(Composições!A:J,MATCH(Orçamentária!A1094,Composições!A:A,0),10),2,0)</f>
        <v>46.020248649999999</v>
      </c>
      <c r="F1094" s="159">
        <f t="shared" ca="1" si="48"/>
        <v>0</v>
      </c>
      <c r="G1094" s="160" t="e">
        <f>IF(A1094&lt;&gt;"",IF(AND(#REF!="Padrão",$H$4=#REF!),BDI!$B$17,IF(AND(#REF!="Padrão",$H$4=#REF!),BDI!$C$17,IF(AND(#REF!="Diferenciado",$H$4=#REF!),BDI!$G$17,IF(AND(#REF!="Diferenciado",$H$4=#REF!),BDI!$H$17,IF(#REF!="ZERO",0))))),"")</f>
        <v>#REF!</v>
      </c>
      <c r="H1094" s="161" t="e">
        <f t="shared" ca="1" si="49"/>
        <v>#REF!</v>
      </c>
      <c r="I1094" s="159" t="e">
        <f t="shared" ca="1" si="50"/>
        <v>#REF!</v>
      </c>
    </row>
    <row r="1095" spans="1:9" hidden="1" x14ac:dyDescent="0.25">
      <c r="A1095" s="102" t="s">
        <v>2170</v>
      </c>
      <c r="B1095" s="103" t="s">
        <v>4360</v>
      </c>
      <c r="C1095" s="104" t="s">
        <v>32</v>
      </c>
      <c r="D1095" s="104">
        <v>0</v>
      </c>
      <c r="E1095" s="158">
        <f ca="1">OFFSET(INDEX(Composições!A:J,MATCH(Orçamentária!A1095,Composições!A:A,0),10),2,0)</f>
        <v>11.45669695</v>
      </c>
      <c r="F1095" s="159">
        <f t="shared" ref="F1095:F1158" ca="1" si="51">IF(ISNUMBER(E1095),D1095*E1095,"")</f>
        <v>0</v>
      </c>
      <c r="G1095" s="160" t="e">
        <f>IF(A1095&lt;&gt;"",IF(AND(#REF!="Padrão",$H$4=#REF!),BDI!$B$17,IF(AND(#REF!="Padrão",$H$4=#REF!),BDI!$C$17,IF(AND(#REF!="Diferenciado",$H$4=#REF!),BDI!$G$17,IF(AND(#REF!="Diferenciado",$H$4=#REF!),BDI!$H$17,IF(#REF!="ZERO",0))))),"")</f>
        <v>#REF!</v>
      </c>
      <c r="H1095" s="161" t="e">
        <f t="shared" ref="H1095:H1158" ca="1" si="52">IF(ISNUMBER(E1095),ROUND(E1095*(1+G1095),2),"")</f>
        <v>#REF!</v>
      </c>
      <c r="I1095" s="159" t="e">
        <f t="shared" ref="I1095:I1158" ca="1" si="53">IF(ISNUMBER(E1095),ROUND(H1095*D1095,2),"")</f>
        <v>#REF!</v>
      </c>
    </row>
    <row r="1096" spans="1:9" hidden="1" x14ac:dyDescent="0.25">
      <c r="A1096" s="102" t="s">
        <v>4361</v>
      </c>
      <c r="B1096" s="103" t="s">
        <v>4362</v>
      </c>
      <c r="C1096" s="104" t="s">
        <v>32</v>
      </c>
      <c r="D1096" s="104">
        <v>0</v>
      </c>
      <c r="E1096" s="158" t="s">
        <v>1079</v>
      </c>
      <c r="F1096" s="159" t="str">
        <f t="shared" si="51"/>
        <v/>
      </c>
      <c r="G1096" s="160" t="e">
        <f>IF(A1096&lt;&gt;"",IF(AND(#REF!="Padrão",$H$4=#REF!),BDI!$B$17,IF(AND(#REF!="Padrão",$H$4=#REF!),BDI!$C$17,IF(AND(#REF!="Diferenciado",$H$4=#REF!),BDI!$G$17,IF(AND(#REF!="Diferenciado",$H$4=#REF!),BDI!$H$17,IF(#REF!="ZERO",0))))),"")</f>
        <v>#REF!</v>
      </c>
      <c r="H1096" s="161" t="str">
        <f t="shared" si="52"/>
        <v/>
      </c>
      <c r="I1096" s="159" t="str">
        <f t="shared" si="53"/>
        <v/>
      </c>
    </row>
    <row r="1097" spans="1:9" hidden="1" x14ac:dyDescent="0.25">
      <c r="A1097" s="102" t="s">
        <v>2174</v>
      </c>
      <c r="B1097" s="103" t="s">
        <v>4363</v>
      </c>
      <c r="C1097" s="104" t="s">
        <v>32</v>
      </c>
      <c r="D1097" s="104">
        <v>0</v>
      </c>
      <c r="E1097" s="158">
        <f ca="1">OFFSET(INDEX(Composições!A:J,MATCH(Orçamentária!A1097,Composições!A:A,0),10),2,0)</f>
        <v>19.8317744</v>
      </c>
      <c r="F1097" s="159">
        <f t="shared" ca="1" si="51"/>
        <v>0</v>
      </c>
      <c r="G1097" s="160" t="e">
        <f>IF(A1097&lt;&gt;"",IF(AND(#REF!="Padrão",$H$4=#REF!),BDI!$B$17,IF(AND(#REF!="Padrão",$H$4=#REF!),BDI!$C$17,IF(AND(#REF!="Diferenciado",$H$4=#REF!),BDI!$G$17,IF(AND(#REF!="Diferenciado",$H$4=#REF!),BDI!$H$17,IF(#REF!="ZERO",0))))),"")</f>
        <v>#REF!</v>
      </c>
      <c r="H1097" s="161" t="e">
        <f t="shared" ca="1" si="52"/>
        <v>#REF!</v>
      </c>
      <c r="I1097" s="159" t="e">
        <f t="shared" ca="1" si="53"/>
        <v>#REF!</v>
      </c>
    </row>
    <row r="1098" spans="1:9" hidden="1" x14ac:dyDescent="0.25">
      <c r="A1098" s="102" t="s">
        <v>2178</v>
      </c>
      <c r="B1098" s="103" t="s">
        <v>4364</v>
      </c>
      <c r="C1098" s="104" t="s">
        <v>32</v>
      </c>
      <c r="D1098" s="104">
        <v>0</v>
      </c>
      <c r="E1098" s="158">
        <f ca="1">OFFSET(INDEX(Composições!A:J,MATCH(Orçamentária!A1098,Composições!A:A,0),10),2,0)</f>
        <v>26.341416650000003</v>
      </c>
      <c r="F1098" s="159">
        <f t="shared" ca="1" si="51"/>
        <v>0</v>
      </c>
      <c r="G1098" s="160" t="e">
        <f>IF(A1098&lt;&gt;"",IF(AND(#REF!="Padrão",$H$4=#REF!),BDI!$B$17,IF(AND(#REF!="Padrão",$H$4=#REF!),BDI!$C$17,IF(AND(#REF!="Diferenciado",$H$4=#REF!),BDI!$G$17,IF(AND(#REF!="Diferenciado",$H$4=#REF!),BDI!$H$17,IF(#REF!="ZERO",0))))),"")</f>
        <v>#REF!</v>
      </c>
      <c r="H1098" s="161" t="e">
        <f t="shared" ca="1" si="52"/>
        <v>#REF!</v>
      </c>
      <c r="I1098" s="159" t="e">
        <f t="shared" ca="1" si="53"/>
        <v>#REF!</v>
      </c>
    </row>
    <row r="1099" spans="1:9" hidden="1" x14ac:dyDescent="0.25">
      <c r="A1099" s="102" t="s">
        <v>2182</v>
      </c>
      <c r="B1099" s="103" t="s">
        <v>4365</v>
      </c>
      <c r="C1099" s="104" t="s">
        <v>32</v>
      </c>
      <c r="D1099" s="104">
        <v>0</v>
      </c>
      <c r="E1099" s="158">
        <f ca="1">OFFSET(INDEX(Composições!A:J,MATCH(Orçamentária!A1099,Composições!A:A,0),10),2,0)</f>
        <v>6.6316849500000004</v>
      </c>
      <c r="F1099" s="159">
        <f t="shared" ca="1" si="51"/>
        <v>0</v>
      </c>
      <c r="G1099" s="160" t="e">
        <f>IF(A1099&lt;&gt;"",IF(AND(#REF!="Padrão",$H$4=#REF!),BDI!$B$17,IF(AND(#REF!="Padrão",$H$4=#REF!),BDI!$C$17,IF(AND(#REF!="Diferenciado",$H$4=#REF!),BDI!$G$17,IF(AND(#REF!="Diferenciado",$H$4=#REF!),BDI!$H$17,IF(#REF!="ZERO",0))))),"")</f>
        <v>#REF!</v>
      </c>
      <c r="H1099" s="161" t="e">
        <f t="shared" ca="1" si="52"/>
        <v>#REF!</v>
      </c>
      <c r="I1099" s="159" t="e">
        <f t="shared" ca="1" si="53"/>
        <v>#REF!</v>
      </c>
    </row>
    <row r="1100" spans="1:9" ht="25.5" hidden="1" x14ac:dyDescent="0.25">
      <c r="A1100" s="102" t="s">
        <v>4366</v>
      </c>
      <c r="B1100" s="103" t="s">
        <v>4367</v>
      </c>
      <c r="C1100" s="104" t="s">
        <v>32</v>
      </c>
      <c r="D1100" s="104">
        <v>0</v>
      </c>
      <c r="E1100" s="158" t="s">
        <v>1079</v>
      </c>
      <c r="F1100" s="159" t="str">
        <f t="shared" si="51"/>
        <v/>
      </c>
      <c r="G1100" s="160" t="e">
        <f>IF(A1100&lt;&gt;"",IF(AND(#REF!="Padrão",$H$4=#REF!),BDI!$B$17,IF(AND(#REF!="Padrão",$H$4=#REF!),BDI!$C$17,IF(AND(#REF!="Diferenciado",$H$4=#REF!),BDI!$G$17,IF(AND(#REF!="Diferenciado",$H$4=#REF!),BDI!$H$17,IF(#REF!="ZERO",0))))),"")</f>
        <v>#REF!</v>
      </c>
      <c r="H1100" s="161" t="str">
        <f t="shared" si="52"/>
        <v/>
      </c>
      <c r="I1100" s="159" t="str">
        <f t="shared" si="53"/>
        <v/>
      </c>
    </row>
    <row r="1101" spans="1:9" ht="25.5" hidden="1" x14ac:dyDescent="0.25">
      <c r="A1101" s="102" t="s">
        <v>4368</v>
      </c>
      <c r="B1101" s="103" t="s">
        <v>4369</v>
      </c>
      <c r="C1101" s="104" t="s">
        <v>32</v>
      </c>
      <c r="D1101" s="104">
        <v>0</v>
      </c>
      <c r="E1101" s="158" t="s">
        <v>1079</v>
      </c>
      <c r="F1101" s="159" t="str">
        <f t="shared" si="51"/>
        <v/>
      </c>
      <c r="G1101" s="160" t="e">
        <f>IF(A1101&lt;&gt;"",IF(AND(#REF!="Padrão",$H$4=#REF!),BDI!$B$17,IF(AND(#REF!="Padrão",$H$4=#REF!),BDI!$C$17,IF(AND(#REF!="Diferenciado",$H$4=#REF!),BDI!$G$17,IF(AND(#REF!="Diferenciado",$H$4=#REF!),BDI!$H$17,IF(#REF!="ZERO",0))))),"")</f>
        <v>#REF!</v>
      </c>
      <c r="H1101" s="161" t="str">
        <f t="shared" si="52"/>
        <v/>
      </c>
      <c r="I1101" s="159" t="str">
        <f t="shared" si="53"/>
        <v/>
      </c>
    </row>
    <row r="1102" spans="1:9" hidden="1" x14ac:dyDescent="0.25">
      <c r="A1102" s="102" t="s">
        <v>2186</v>
      </c>
      <c r="B1102" s="103" t="s">
        <v>4370</v>
      </c>
      <c r="C1102" s="104" t="s">
        <v>184</v>
      </c>
      <c r="D1102" s="104">
        <v>0</v>
      </c>
      <c r="E1102" s="158">
        <f ca="1">OFFSET(INDEX(Composições!A:J,MATCH(Orçamentária!A1102,Composições!A:A,0),10),2,0)</f>
        <v>94.424533699999998</v>
      </c>
      <c r="F1102" s="159">
        <f t="shared" ca="1" si="51"/>
        <v>0</v>
      </c>
      <c r="G1102" s="160" t="e">
        <f>IF(A1102&lt;&gt;"",IF(AND(#REF!="Padrão",$H$4=#REF!),BDI!$B$17,IF(AND(#REF!="Padrão",$H$4=#REF!),BDI!$C$17,IF(AND(#REF!="Diferenciado",$H$4=#REF!),BDI!$G$17,IF(AND(#REF!="Diferenciado",$H$4=#REF!),BDI!$H$17,IF(#REF!="ZERO",0))))),"")</f>
        <v>#REF!</v>
      </c>
      <c r="H1102" s="161" t="e">
        <f t="shared" ca="1" si="52"/>
        <v>#REF!</v>
      </c>
      <c r="I1102" s="159" t="e">
        <f t="shared" ca="1" si="53"/>
        <v>#REF!</v>
      </c>
    </row>
    <row r="1103" spans="1:9" hidden="1" x14ac:dyDescent="0.25">
      <c r="A1103" s="102" t="s">
        <v>2190</v>
      </c>
      <c r="B1103" s="103" t="s">
        <v>4371</v>
      </c>
      <c r="C1103" s="104" t="s">
        <v>184</v>
      </c>
      <c r="D1103" s="104">
        <v>0</v>
      </c>
      <c r="E1103" s="158">
        <f ca="1">OFFSET(INDEX(Composições!A:J,MATCH(Orçamentária!A1103,Composições!A:A,0),10),2,0)</f>
        <v>113.49126264999998</v>
      </c>
      <c r="F1103" s="159">
        <f t="shared" ca="1" si="51"/>
        <v>0</v>
      </c>
      <c r="G1103" s="160" t="e">
        <f>IF(A1103&lt;&gt;"",IF(AND(#REF!="Padrão",$H$4=#REF!),BDI!$B$17,IF(AND(#REF!="Padrão",$H$4=#REF!),BDI!$C$17,IF(AND(#REF!="Diferenciado",$H$4=#REF!),BDI!$G$17,IF(AND(#REF!="Diferenciado",$H$4=#REF!),BDI!$H$17,IF(#REF!="ZERO",0))))),"")</f>
        <v>#REF!</v>
      </c>
      <c r="H1103" s="161" t="e">
        <f t="shared" ca="1" si="52"/>
        <v>#REF!</v>
      </c>
      <c r="I1103" s="159" t="e">
        <f t="shared" ca="1" si="53"/>
        <v>#REF!</v>
      </c>
    </row>
    <row r="1104" spans="1:9" hidden="1" x14ac:dyDescent="0.25">
      <c r="A1104" s="102" t="s">
        <v>4372</v>
      </c>
      <c r="B1104" s="103" t="s">
        <v>4373</v>
      </c>
      <c r="C1104" s="104" t="s">
        <v>32</v>
      </c>
      <c r="D1104" s="104">
        <v>0</v>
      </c>
      <c r="E1104" s="158" t="s">
        <v>1079</v>
      </c>
      <c r="F1104" s="159" t="str">
        <f t="shared" si="51"/>
        <v/>
      </c>
      <c r="G1104" s="160" t="e">
        <f>IF(A1104&lt;&gt;"",IF(AND(#REF!="Padrão",$H$4=#REF!),BDI!$B$17,IF(AND(#REF!="Padrão",$H$4=#REF!),BDI!$C$17,IF(AND(#REF!="Diferenciado",$H$4=#REF!),BDI!$G$17,IF(AND(#REF!="Diferenciado",$H$4=#REF!),BDI!$H$17,IF(#REF!="ZERO",0))))),"")</f>
        <v>#REF!</v>
      </c>
      <c r="H1104" s="161" t="str">
        <f t="shared" si="52"/>
        <v/>
      </c>
      <c r="I1104" s="159" t="str">
        <f t="shared" si="53"/>
        <v/>
      </c>
    </row>
    <row r="1105" spans="1:9" hidden="1" x14ac:dyDescent="0.25">
      <c r="A1105" s="102" t="s">
        <v>4374</v>
      </c>
      <c r="B1105" s="103" t="s">
        <v>4375</v>
      </c>
      <c r="C1105" s="104" t="s">
        <v>32</v>
      </c>
      <c r="D1105" s="104">
        <v>0</v>
      </c>
      <c r="E1105" s="158" t="s">
        <v>1079</v>
      </c>
      <c r="F1105" s="159" t="str">
        <f t="shared" si="51"/>
        <v/>
      </c>
      <c r="G1105" s="160" t="e">
        <f>IF(A1105&lt;&gt;"",IF(AND(#REF!="Padrão",$H$4=#REF!),BDI!$B$17,IF(AND(#REF!="Padrão",$H$4=#REF!),BDI!$C$17,IF(AND(#REF!="Diferenciado",$H$4=#REF!),BDI!$G$17,IF(AND(#REF!="Diferenciado",$H$4=#REF!),BDI!$H$17,IF(#REF!="ZERO",0))))),"")</f>
        <v>#REF!</v>
      </c>
      <c r="H1105" s="161" t="str">
        <f t="shared" si="52"/>
        <v/>
      </c>
      <c r="I1105" s="159" t="str">
        <f t="shared" si="53"/>
        <v/>
      </c>
    </row>
    <row r="1106" spans="1:9" hidden="1" x14ac:dyDescent="0.25">
      <c r="A1106" s="102" t="s">
        <v>2194</v>
      </c>
      <c r="B1106" s="103" t="s">
        <v>4376</v>
      </c>
      <c r="C1106" s="104" t="s">
        <v>184</v>
      </c>
      <c r="D1106" s="104">
        <v>0</v>
      </c>
      <c r="E1106" s="158">
        <f ca="1">OFFSET(INDEX(Composições!A:J,MATCH(Orçamentária!A1106,Composições!A:A,0),10),2,0)</f>
        <v>31.8686373</v>
      </c>
      <c r="F1106" s="159">
        <f t="shared" ca="1" si="51"/>
        <v>0</v>
      </c>
      <c r="G1106" s="160" t="e">
        <f>IF(A1106&lt;&gt;"",IF(AND(#REF!="Padrão",$H$4=#REF!),BDI!$B$17,IF(AND(#REF!="Padrão",$H$4=#REF!),BDI!$C$17,IF(AND(#REF!="Diferenciado",$H$4=#REF!),BDI!$G$17,IF(AND(#REF!="Diferenciado",$H$4=#REF!),BDI!$H$17,IF(#REF!="ZERO",0))))),"")</f>
        <v>#REF!</v>
      </c>
      <c r="H1106" s="161" t="e">
        <f t="shared" ca="1" si="52"/>
        <v>#REF!</v>
      </c>
      <c r="I1106" s="159" t="e">
        <f t="shared" ca="1" si="53"/>
        <v>#REF!</v>
      </c>
    </row>
    <row r="1107" spans="1:9" hidden="1" x14ac:dyDescent="0.25">
      <c r="A1107" s="102" t="s">
        <v>2199</v>
      </c>
      <c r="B1107" s="103" t="s">
        <v>4377</v>
      </c>
      <c r="C1107" s="104" t="s">
        <v>3771</v>
      </c>
      <c r="D1107" s="104">
        <v>0</v>
      </c>
      <c r="E1107" s="158">
        <f ca="1">OFFSET(INDEX(Composições!A:J,MATCH(Orçamentária!A1107,Composições!A:A,0),10),2,0)</f>
        <v>1448.1381999999996</v>
      </c>
      <c r="F1107" s="159">
        <f t="shared" ca="1" si="51"/>
        <v>0</v>
      </c>
      <c r="G1107" s="160" t="e">
        <f>IF(A1107&lt;&gt;"",IF(AND(#REF!="Padrão",$H$4=#REF!),BDI!$B$17,IF(AND(#REF!="Padrão",$H$4=#REF!),BDI!$C$17,IF(AND(#REF!="Diferenciado",$H$4=#REF!),BDI!$G$17,IF(AND(#REF!="Diferenciado",$H$4=#REF!),BDI!$H$17,IF(#REF!="ZERO",0))))),"")</f>
        <v>#REF!</v>
      </c>
      <c r="H1107" s="161" t="e">
        <f t="shared" ca="1" si="52"/>
        <v>#REF!</v>
      </c>
      <c r="I1107" s="159" t="e">
        <f t="shared" ca="1" si="53"/>
        <v>#REF!</v>
      </c>
    </row>
    <row r="1108" spans="1:9" hidden="1" x14ac:dyDescent="0.25">
      <c r="A1108" s="102" t="s">
        <v>4378</v>
      </c>
      <c r="B1108" s="103" t="s">
        <v>4379</v>
      </c>
      <c r="C1108" s="104" t="s">
        <v>3989</v>
      </c>
      <c r="D1108" s="104">
        <v>0</v>
      </c>
      <c r="E1108" s="158" t="s">
        <v>1079</v>
      </c>
      <c r="F1108" s="159" t="str">
        <f t="shared" si="51"/>
        <v/>
      </c>
      <c r="G1108" s="160" t="e">
        <f>IF(A1108&lt;&gt;"",IF(AND(#REF!="Padrão",$H$4=#REF!),BDI!$B$17,IF(AND(#REF!="Padrão",$H$4=#REF!),BDI!$C$17,IF(AND(#REF!="Diferenciado",$H$4=#REF!),BDI!$G$17,IF(AND(#REF!="Diferenciado",$H$4=#REF!),BDI!$H$17,IF(#REF!="ZERO",0))))),"")</f>
        <v>#REF!</v>
      </c>
      <c r="H1108" s="161" t="str">
        <f t="shared" si="52"/>
        <v/>
      </c>
      <c r="I1108" s="159" t="str">
        <f t="shared" si="53"/>
        <v/>
      </c>
    </row>
    <row r="1109" spans="1:9" hidden="1" x14ac:dyDescent="0.25">
      <c r="A1109" s="102" t="s">
        <v>2202</v>
      </c>
      <c r="B1109" s="103" t="s">
        <v>4380</v>
      </c>
      <c r="C1109" s="104" t="s">
        <v>189</v>
      </c>
      <c r="D1109" s="104">
        <v>0</v>
      </c>
      <c r="E1109" s="158">
        <f ca="1">OFFSET(INDEX(Composições!A:J,MATCH(Orçamentária!A1109,Composições!A:A,0),10),2,0)</f>
        <v>10.201812499999999</v>
      </c>
      <c r="F1109" s="159">
        <f t="shared" ca="1" si="51"/>
        <v>0</v>
      </c>
      <c r="G1109" s="160" t="e">
        <f>IF(A1109&lt;&gt;"",IF(AND(#REF!="Padrão",$H$4=#REF!),BDI!$B$17,IF(AND(#REF!="Padrão",$H$4=#REF!),BDI!$C$17,IF(AND(#REF!="Diferenciado",$H$4=#REF!),BDI!$G$17,IF(AND(#REF!="Diferenciado",$H$4=#REF!),BDI!$H$17,IF(#REF!="ZERO",0))))),"")</f>
        <v>#REF!</v>
      </c>
      <c r="H1109" s="161" t="e">
        <f t="shared" ca="1" si="52"/>
        <v>#REF!</v>
      </c>
      <c r="I1109" s="159" t="e">
        <f t="shared" ca="1" si="53"/>
        <v>#REF!</v>
      </c>
    </row>
    <row r="1110" spans="1:9" hidden="1" x14ac:dyDescent="0.25">
      <c r="A1110" s="102" t="s">
        <v>2204</v>
      </c>
      <c r="B1110" s="103" t="s">
        <v>4381</v>
      </c>
      <c r="C1110" s="104" t="s">
        <v>189</v>
      </c>
      <c r="D1110" s="104">
        <v>0</v>
      </c>
      <c r="E1110" s="158">
        <f ca="1">OFFSET(INDEX(Composições!A:J,MATCH(Orçamentária!A1110,Composições!A:A,0),10),2,0)</f>
        <v>32.758469999999996</v>
      </c>
      <c r="F1110" s="159">
        <f t="shared" ca="1" si="51"/>
        <v>0</v>
      </c>
      <c r="G1110" s="160" t="e">
        <f>IF(A1110&lt;&gt;"",IF(AND(#REF!="Padrão",$H$4=#REF!),BDI!$B$17,IF(AND(#REF!="Padrão",$H$4=#REF!),BDI!$C$17,IF(AND(#REF!="Diferenciado",$H$4=#REF!),BDI!$G$17,IF(AND(#REF!="Diferenciado",$H$4=#REF!),BDI!$H$17,IF(#REF!="ZERO",0))))),"")</f>
        <v>#REF!</v>
      </c>
      <c r="H1110" s="161" t="e">
        <f t="shared" ca="1" si="52"/>
        <v>#REF!</v>
      </c>
      <c r="I1110" s="159" t="e">
        <f t="shared" ca="1" si="53"/>
        <v>#REF!</v>
      </c>
    </row>
    <row r="1111" spans="1:9" ht="25.5" hidden="1" x14ac:dyDescent="0.25">
      <c r="A1111" s="102" t="s">
        <v>2211</v>
      </c>
      <c r="B1111" s="103" t="s">
        <v>4382</v>
      </c>
      <c r="C1111" s="104" t="s">
        <v>189</v>
      </c>
      <c r="D1111" s="104">
        <v>0</v>
      </c>
      <c r="E1111" s="158">
        <f ca="1">OFFSET(INDEX(Composições!A:J,MATCH(Orçamentária!A1111,Composições!A:A,0),10),2,0)</f>
        <v>37.956527999999999</v>
      </c>
      <c r="F1111" s="159">
        <f t="shared" ca="1" si="51"/>
        <v>0</v>
      </c>
      <c r="G1111" s="160" t="e">
        <f>IF(A1111&lt;&gt;"",IF(AND(#REF!="Padrão",$H$4=#REF!),BDI!$B$17,IF(AND(#REF!="Padrão",$H$4=#REF!),BDI!$C$17,IF(AND(#REF!="Diferenciado",$H$4=#REF!),BDI!$G$17,IF(AND(#REF!="Diferenciado",$H$4=#REF!),BDI!$H$17,IF(#REF!="ZERO",0))))),"")</f>
        <v>#REF!</v>
      </c>
      <c r="H1111" s="161" t="e">
        <f t="shared" ca="1" si="52"/>
        <v>#REF!</v>
      </c>
      <c r="I1111" s="159" t="e">
        <f t="shared" ca="1" si="53"/>
        <v>#REF!</v>
      </c>
    </row>
    <row r="1112" spans="1:9" hidden="1" x14ac:dyDescent="0.25">
      <c r="A1112" s="102" t="s">
        <v>2213</v>
      </c>
      <c r="B1112" s="103" t="s">
        <v>4383</v>
      </c>
      <c r="C1112" s="104" t="s">
        <v>189</v>
      </c>
      <c r="D1112" s="104">
        <v>0</v>
      </c>
      <c r="E1112" s="158">
        <f ca="1">OFFSET(INDEX(Composições!A:J,MATCH(Orçamentária!A1112,Composições!A:A,0),10),2,0)</f>
        <v>37.956527999999999</v>
      </c>
      <c r="F1112" s="159">
        <f t="shared" ca="1" si="51"/>
        <v>0</v>
      </c>
      <c r="G1112" s="160" t="e">
        <f>IF(A1112&lt;&gt;"",IF(AND(#REF!="Padrão",$H$4=#REF!),BDI!$B$17,IF(AND(#REF!="Padrão",$H$4=#REF!),BDI!$C$17,IF(AND(#REF!="Diferenciado",$H$4=#REF!),BDI!$G$17,IF(AND(#REF!="Diferenciado",$H$4=#REF!),BDI!$H$17,IF(#REF!="ZERO",0))))),"")</f>
        <v>#REF!</v>
      </c>
      <c r="H1112" s="161" t="e">
        <f t="shared" ca="1" si="52"/>
        <v>#REF!</v>
      </c>
      <c r="I1112" s="159" t="e">
        <f t="shared" ca="1" si="53"/>
        <v>#REF!</v>
      </c>
    </row>
    <row r="1113" spans="1:9" hidden="1" x14ac:dyDescent="0.25">
      <c r="A1113" s="102" t="s">
        <v>2215</v>
      </c>
      <c r="B1113" s="103" t="s">
        <v>4384</v>
      </c>
      <c r="C1113" s="104" t="s">
        <v>189</v>
      </c>
      <c r="D1113" s="104">
        <v>0</v>
      </c>
      <c r="E1113" s="158">
        <f ca="1">OFFSET(INDEX(Composições!A:J,MATCH(Orçamentária!A1113,Composições!A:A,0),10),2,0)</f>
        <v>72.989450000000005</v>
      </c>
      <c r="F1113" s="159">
        <f t="shared" ca="1" si="51"/>
        <v>0</v>
      </c>
      <c r="G1113" s="160" t="e">
        <f>IF(A1113&lt;&gt;"",IF(AND(#REF!="Padrão",$H$4=#REF!),BDI!$B$17,IF(AND(#REF!="Padrão",$H$4=#REF!),BDI!$C$17,IF(AND(#REF!="Diferenciado",$H$4=#REF!),BDI!$G$17,IF(AND(#REF!="Diferenciado",$H$4=#REF!),BDI!$H$17,IF(#REF!="ZERO",0))))),"")</f>
        <v>#REF!</v>
      </c>
      <c r="H1113" s="161" t="e">
        <f t="shared" ca="1" si="52"/>
        <v>#REF!</v>
      </c>
      <c r="I1113" s="159" t="e">
        <f t="shared" ca="1" si="53"/>
        <v>#REF!</v>
      </c>
    </row>
    <row r="1114" spans="1:9" hidden="1" x14ac:dyDescent="0.25">
      <c r="A1114" s="102" t="s">
        <v>2221</v>
      </c>
      <c r="B1114" s="103" t="s">
        <v>4385</v>
      </c>
      <c r="C1114" s="104" t="s">
        <v>189</v>
      </c>
      <c r="D1114" s="104">
        <v>0</v>
      </c>
      <c r="E1114" s="158">
        <f ca="1">OFFSET(INDEX(Composições!A:J,MATCH(Orçamentária!A1114,Composições!A:A,0),10),2,0)</f>
        <v>93.669718895000003</v>
      </c>
      <c r="F1114" s="159">
        <f t="shared" ca="1" si="51"/>
        <v>0</v>
      </c>
      <c r="G1114" s="160" t="e">
        <f>IF(A1114&lt;&gt;"",IF(AND(#REF!="Padrão",$H$4=#REF!),BDI!$B$17,IF(AND(#REF!="Padrão",$H$4=#REF!),BDI!$C$17,IF(AND(#REF!="Diferenciado",$H$4=#REF!),BDI!$G$17,IF(AND(#REF!="Diferenciado",$H$4=#REF!),BDI!$H$17,IF(#REF!="ZERO",0))))),"")</f>
        <v>#REF!</v>
      </c>
      <c r="H1114" s="161" t="e">
        <f t="shared" ca="1" si="52"/>
        <v>#REF!</v>
      </c>
      <c r="I1114" s="159" t="e">
        <f t="shared" ca="1" si="53"/>
        <v>#REF!</v>
      </c>
    </row>
    <row r="1115" spans="1:9" hidden="1" x14ac:dyDescent="0.25">
      <c r="A1115" s="102" t="s">
        <v>2227</v>
      </c>
      <c r="B1115" s="103" t="s">
        <v>4386</v>
      </c>
      <c r="C1115" s="104" t="s">
        <v>189</v>
      </c>
      <c r="D1115" s="104">
        <v>0</v>
      </c>
      <c r="E1115" s="158">
        <f ca="1">OFFSET(INDEX(Composições!A:J,MATCH(Orçamentária!A1115,Composições!A:A,0),10),2,0)</f>
        <v>13.455799999999998</v>
      </c>
      <c r="F1115" s="159">
        <f t="shared" ca="1" si="51"/>
        <v>0</v>
      </c>
      <c r="G1115" s="160" t="e">
        <f>IF(A1115&lt;&gt;"",IF(AND(#REF!="Padrão",$H$4=#REF!),BDI!$B$17,IF(AND(#REF!="Padrão",$H$4=#REF!),BDI!$C$17,IF(AND(#REF!="Diferenciado",$H$4=#REF!),BDI!$G$17,IF(AND(#REF!="Diferenciado",$H$4=#REF!),BDI!$H$17,IF(#REF!="ZERO",0))))),"")</f>
        <v>#REF!</v>
      </c>
      <c r="H1115" s="161" t="e">
        <f t="shared" ca="1" si="52"/>
        <v>#REF!</v>
      </c>
      <c r="I1115" s="159" t="e">
        <f t="shared" ca="1" si="53"/>
        <v>#REF!</v>
      </c>
    </row>
    <row r="1116" spans="1:9" hidden="1" x14ac:dyDescent="0.25">
      <c r="A1116" s="102" t="s">
        <v>2231</v>
      </c>
      <c r="B1116" s="103" t="s">
        <v>4387</v>
      </c>
      <c r="C1116" s="104" t="s">
        <v>184</v>
      </c>
      <c r="D1116" s="104">
        <v>0</v>
      </c>
      <c r="E1116" s="158">
        <f ca="1">OFFSET(INDEX(Composições!A:J,MATCH(Orçamentária!A1116,Composições!A:A,0),10),2,0)</f>
        <v>22.734164999999997</v>
      </c>
      <c r="F1116" s="159">
        <f t="shared" ca="1" si="51"/>
        <v>0</v>
      </c>
      <c r="G1116" s="160" t="e">
        <f>IF(A1116&lt;&gt;"",IF(AND(#REF!="Padrão",$H$4=#REF!),BDI!$B$17,IF(AND(#REF!="Padrão",$H$4=#REF!),BDI!$C$17,IF(AND(#REF!="Diferenciado",$H$4=#REF!),BDI!$G$17,IF(AND(#REF!="Diferenciado",$H$4=#REF!),BDI!$H$17,IF(#REF!="ZERO",0))))),"")</f>
        <v>#REF!</v>
      </c>
      <c r="H1116" s="161" t="e">
        <f t="shared" ca="1" si="52"/>
        <v>#REF!</v>
      </c>
      <c r="I1116" s="159" t="e">
        <f t="shared" ca="1" si="53"/>
        <v>#REF!</v>
      </c>
    </row>
    <row r="1117" spans="1:9" hidden="1" x14ac:dyDescent="0.25">
      <c r="A1117" s="102" t="s">
        <v>2234</v>
      </c>
      <c r="B1117" s="103" t="s">
        <v>4388</v>
      </c>
      <c r="C1117" s="104" t="s">
        <v>189</v>
      </c>
      <c r="D1117" s="104">
        <v>0</v>
      </c>
      <c r="E1117" s="158">
        <f ca="1">OFFSET(INDEX(Composições!A:J,MATCH(Orçamentária!A1117,Composições!A:A,0),10),2,0)</f>
        <v>14.525499999999997</v>
      </c>
      <c r="F1117" s="159">
        <f t="shared" ca="1" si="51"/>
        <v>0</v>
      </c>
      <c r="G1117" s="160" t="e">
        <f>IF(A1117&lt;&gt;"",IF(AND(#REF!="Padrão",$H$4=#REF!),BDI!$B$17,IF(AND(#REF!="Padrão",$H$4=#REF!),BDI!$C$17,IF(AND(#REF!="Diferenciado",$H$4=#REF!),BDI!$G$17,IF(AND(#REF!="Diferenciado",$H$4=#REF!),BDI!$H$17,IF(#REF!="ZERO",0))))),"")</f>
        <v>#REF!</v>
      </c>
      <c r="H1117" s="161" t="e">
        <f t="shared" ca="1" si="52"/>
        <v>#REF!</v>
      </c>
      <c r="I1117" s="159" t="e">
        <f t="shared" ca="1" si="53"/>
        <v>#REF!</v>
      </c>
    </row>
    <row r="1118" spans="1:9" hidden="1" x14ac:dyDescent="0.25">
      <c r="A1118" s="102" t="s">
        <v>2243</v>
      </c>
      <c r="B1118" s="103" t="s">
        <v>4389</v>
      </c>
      <c r="C1118" s="104" t="s">
        <v>189</v>
      </c>
      <c r="D1118" s="104">
        <v>0</v>
      </c>
      <c r="E1118" s="158">
        <f ca="1">OFFSET(INDEX(Composições!A:J,MATCH(Orçamentária!A1118,Composições!A:A,0),10),2,0)</f>
        <v>0</v>
      </c>
      <c r="F1118" s="159">
        <f t="shared" ca="1" si="51"/>
        <v>0</v>
      </c>
      <c r="G1118" s="160" t="e">
        <f>IF(A1118&lt;&gt;"",IF(AND(#REF!="Padrão",$H$4=#REF!),BDI!$B$17,IF(AND(#REF!="Padrão",$H$4=#REF!),BDI!$C$17,IF(AND(#REF!="Diferenciado",$H$4=#REF!),BDI!$G$17,IF(AND(#REF!="Diferenciado",$H$4=#REF!),BDI!$H$17,IF(#REF!="ZERO",0))))),"")</f>
        <v>#REF!</v>
      </c>
      <c r="H1118" s="161" t="e">
        <f t="shared" ca="1" si="52"/>
        <v>#REF!</v>
      </c>
      <c r="I1118" s="159" t="e">
        <f t="shared" ca="1" si="53"/>
        <v>#REF!</v>
      </c>
    </row>
    <row r="1119" spans="1:9" hidden="1" x14ac:dyDescent="0.25">
      <c r="A1119" s="102" t="s">
        <v>2247</v>
      </c>
      <c r="B1119" s="103" t="s">
        <v>4390</v>
      </c>
      <c r="C1119" s="104" t="s">
        <v>189</v>
      </c>
      <c r="D1119" s="104">
        <v>0</v>
      </c>
      <c r="E1119" s="158">
        <f ca="1">OFFSET(INDEX(Composições!A:J,MATCH(Orçamentária!A1119,Composições!A:A,0),10),2,0)</f>
        <v>128.82</v>
      </c>
      <c r="F1119" s="159">
        <f t="shared" ca="1" si="51"/>
        <v>0</v>
      </c>
      <c r="G1119" s="160" t="e">
        <f>IF(A1119&lt;&gt;"",IF(AND(#REF!="Padrão",$H$4=#REF!),BDI!$B$17,IF(AND(#REF!="Padrão",$H$4=#REF!),BDI!$C$17,IF(AND(#REF!="Diferenciado",$H$4=#REF!),BDI!$G$17,IF(AND(#REF!="Diferenciado",$H$4=#REF!),BDI!$H$17,IF(#REF!="ZERO",0))))),"")</f>
        <v>#REF!</v>
      </c>
      <c r="H1119" s="161" t="e">
        <f t="shared" ca="1" si="52"/>
        <v>#REF!</v>
      </c>
      <c r="I1119" s="159" t="e">
        <f t="shared" ca="1" si="53"/>
        <v>#REF!</v>
      </c>
    </row>
    <row r="1120" spans="1:9" hidden="1" x14ac:dyDescent="0.25">
      <c r="A1120" s="102" t="s">
        <v>2253</v>
      </c>
      <c r="B1120" s="103" t="s">
        <v>4391</v>
      </c>
      <c r="C1120" s="104" t="s">
        <v>189</v>
      </c>
      <c r="D1120" s="104">
        <v>0</v>
      </c>
      <c r="E1120" s="158">
        <f ca="1">OFFSET(INDEX(Composições!A:J,MATCH(Orçamentária!A1120,Composições!A:A,0),10),2,0)</f>
        <v>174.06469999999996</v>
      </c>
      <c r="F1120" s="159">
        <f t="shared" ca="1" si="51"/>
        <v>0</v>
      </c>
      <c r="G1120" s="160" t="e">
        <f>IF(A1120&lt;&gt;"",IF(AND(#REF!="Padrão",$H$4=#REF!),BDI!$B$17,IF(AND(#REF!="Padrão",$H$4=#REF!),BDI!$C$17,IF(AND(#REF!="Diferenciado",$H$4=#REF!),BDI!$G$17,IF(AND(#REF!="Diferenciado",$H$4=#REF!),BDI!$H$17,IF(#REF!="ZERO",0))))),"")</f>
        <v>#REF!</v>
      </c>
      <c r="H1120" s="161" t="e">
        <f t="shared" ca="1" si="52"/>
        <v>#REF!</v>
      </c>
      <c r="I1120" s="159" t="e">
        <f t="shared" ca="1" si="53"/>
        <v>#REF!</v>
      </c>
    </row>
    <row r="1121" spans="1:9" hidden="1" x14ac:dyDescent="0.25">
      <c r="A1121" s="102" t="s">
        <v>2257</v>
      </c>
      <c r="B1121" s="103" t="s">
        <v>4392</v>
      </c>
      <c r="C1121" s="104" t="s">
        <v>189</v>
      </c>
      <c r="D1121" s="104">
        <v>0</v>
      </c>
      <c r="E1121" s="158">
        <f ca="1">OFFSET(INDEX(Composições!A:J,MATCH(Orçamentária!A1121,Composições!A:A,0),10),2,0)</f>
        <v>14.890299999999996</v>
      </c>
      <c r="F1121" s="159">
        <f t="shared" ca="1" si="51"/>
        <v>0</v>
      </c>
      <c r="G1121" s="160" t="e">
        <f>IF(A1121&lt;&gt;"",IF(AND(#REF!="Padrão",$H$4=#REF!),BDI!$B$17,IF(AND(#REF!="Padrão",$H$4=#REF!),BDI!$C$17,IF(AND(#REF!="Diferenciado",$H$4=#REF!),BDI!$G$17,IF(AND(#REF!="Diferenciado",$H$4=#REF!),BDI!$H$17,IF(#REF!="ZERO",0))))),"")</f>
        <v>#REF!</v>
      </c>
      <c r="H1121" s="161" t="e">
        <f t="shared" ca="1" si="52"/>
        <v>#REF!</v>
      </c>
      <c r="I1121" s="159" t="e">
        <f t="shared" ca="1" si="53"/>
        <v>#REF!</v>
      </c>
    </row>
    <row r="1122" spans="1:9" hidden="1" x14ac:dyDescent="0.25">
      <c r="A1122" s="102" t="s">
        <v>2259</v>
      </c>
      <c r="B1122" s="103" t="s">
        <v>4393</v>
      </c>
      <c r="C1122" s="104" t="s">
        <v>189</v>
      </c>
      <c r="D1122" s="104">
        <v>0</v>
      </c>
      <c r="E1122" s="158">
        <f ca="1">OFFSET(INDEX(Composições!A:J,MATCH(Orçamentária!A1122,Composições!A:A,0),10),2,0)</f>
        <v>7.4089549999999997</v>
      </c>
      <c r="F1122" s="159">
        <f t="shared" ca="1" si="51"/>
        <v>0</v>
      </c>
      <c r="G1122" s="160" t="e">
        <f>IF(A1122&lt;&gt;"",IF(AND(#REF!="Padrão",$H$4=#REF!),BDI!$B$17,IF(AND(#REF!="Padrão",$H$4=#REF!),BDI!$C$17,IF(AND(#REF!="Diferenciado",$H$4=#REF!),BDI!$G$17,IF(AND(#REF!="Diferenciado",$H$4=#REF!),BDI!$H$17,IF(#REF!="ZERO",0))))),"")</f>
        <v>#REF!</v>
      </c>
      <c r="H1122" s="161" t="e">
        <f t="shared" ca="1" si="52"/>
        <v>#REF!</v>
      </c>
      <c r="I1122" s="159" t="e">
        <f t="shared" ca="1" si="53"/>
        <v>#REF!</v>
      </c>
    </row>
    <row r="1123" spans="1:9" hidden="1" x14ac:dyDescent="0.25">
      <c r="A1123" s="102" t="s">
        <v>2263</v>
      </c>
      <c r="B1123" s="103" t="s">
        <v>4394</v>
      </c>
      <c r="C1123" s="104" t="s">
        <v>189</v>
      </c>
      <c r="D1123" s="104">
        <v>0</v>
      </c>
      <c r="E1123" s="158">
        <f ca="1">OFFSET(INDEX(Composições!A:J,MATCH(Orçamentária!A1123,Composições!A:A,0),10),2,0)</f>
        <v>7.4089549999999997</v>
      </c>
      <c r="F1123" s="159">
        <f t="shared" ca="1" si="51"/>
        <v>0</v>
      </c>
      <c r="G1123" s="160" t="e">
        <f>IF(A1123&lt;&gt;"",IF(AND(#REF!="Padrão",$H$4=#REF!),BDI!$B$17,IF(AND(#REF!="Padrão",$H$4=#REF!),BDI!$C$17,IF(AND(#REF!="Diferenciado",$H$4=#REF!),BDI!$G$17,IF(AND(#REF!="Diferenciado",$H$4=#REF!),BDI!$H$17,IF(#REF!="ZERO",0))))),"")</f>
        <v>#REF!</v>
      </c>
      <c r="H1123" s="161" t="e">
        <f t="shared" ca="1" si="52"/>
        <v>#REF!</v>
      </c>
      <c r="I1123" s="159" t="e">
        <f t="shared" ca="1" si="53"/>
        <v>#REF!</v>
      </c>
    </row>
    <row r="1124" spans="1:9" hidden="1" x14ac:dyDescent="0.25">
      <c r="A1124" s="102" t="s">
        <v>2265</v>
      </c>
      <c r="B1124" s="103" t="s">
        <v>4395</v>
      </c>
      <c r="C1124" s="104" t="s">
        <v>189</v>
      </c>
      <c r="D1124" s="104">
        <v>0</v>
      </c>
      <c r="E1124" s="158">
        <f ca="1">OFFSET(INDEX(Composições!A:J,MATCH(Orçamentária!A1124,Composições!A:A,0),10),2,0)</f>
        <v>36.230852049999996</v>
      </c>
      <c r="F1124" s="159">
        <f t="shared" ca="1" si="51"/>
        <v>0</v>
      </c>
      <c r="G1124" s="160" t="e">
        <f>IF(A1124&lt;&gt;"",IF(AND(#REF!="Padrão",$H$4=#REF!),BDI!$B$17,IF(AND(#REF!="Padrão",$H$4=#REF!),BDI!$C$17,IF(AND(#REF!="Diferenciado",$H$4=#REF!),BDI!$G$17,IF(AND(#REF!="Diferenciado",$H$4=#REF!),BDI!$H$17,IF(#REF!="ZERO",0))))),"")</f>
        <v>#REF!</v>
      </c>
      <c r="H1124" s="161" t="e">
        <f t="shared" ca="1" si="52"/>
        <v>#REF!</v>
      </c>
      <c r="I1124" s="159" t="e">
        <f t="shared" ca="1" si="53"/>
        <v>#REF!</v>
      </c>
    </row>
    <row r="1125" spans="1:9" hidden="1" x14ac:dyDescent="0.25">
      <c r="A1125" s="102" t="s">
        <v>2275</v>
      </c>
      <c r="B1125" s="103" t="s">
        <v>4396</v>
      </c>
      <c r="C1125" s="104" t="s">
        <v>189</v>
      </c>
      <c r="D1125" s="104">
        <v>0</v>
      </c>
      <c r="E1125" s="158">
        <f ca="1">OFFSET(INDEX(Composições!A:J,MATCH(Orçamentária!A1125,Composições!A:A,0),10),2,0)</f>
        <v>11.749219999999998</v>
      </c>
      <c r="F1125" s="159">
        <f t="shared" ca="1" si="51"/>
        <v>0</v>
      </c>
      <c r="G1125" s="160" t="e">
        <f>IF(A1125&lt;&gt;"",IF(AND(#REF!="Padrão",$H$4=#REF!),BDI!$B$17,IF(AND(#REF!="Padrão",$H$4=#REF!),BDI!$C$17,IF(AND(#REF!="Diferenciado",$H$4=#REF!),BDI!$G$17,IF(AND(#REF!="Diferenciado",$H$4=#REF!),BDI!$H$17,IF(#REF!="ZERO",0))))),"")</f>
        <v>#REF!</v>
      </c>
      <c r="H1125" s="161" t="e">
        <f t="shared" ca="1" si="52"/>
        <v>#REF!</v>
      </c>
      <c r="I1125" s="159" t="e">
        <f t="shared" ca="1" si="53"/>
        <v>#REF!</v>
      </c>
    </row>
    <row r="1126" spans="1:9" hidden="1" x14ac:dyDescent="0.25">
      <c r="A1126" s="102" t="s">
        <v>2279</v>
      </c>
      <c r="B1126" s="103" t="s">
        <v>4397</v>
      </c>
      <c r="C1126" s="104" t="s">
        <v>189</v>
      </c>
      <c r="D1126" s="104">
        <v>0</v>
      </c>
      <c r="E1126" s="158">
        <f ca="1">OFFSET(INDEX(Composições!A:J,MATCH(Orçamentária!A1126,Composições!A:A,0),10),2,0)</f>
        <v>12.289489749999998</v>
      </c>
      <c r="F1126" s="159">
        <f t="shared" ca="1" si="51"/>
        <v>0</v>
      </c>
      <c r="G1126" s="160" t="e">
        <f>IF(A1126&lt;&gt;"",IF(AND(#REF!="Padrão",$H$4=#REF!),BDI!$B$17,IF(AND(#REF!="Padrão",$H$4=#REF!),BDI!$C$17,IF(AND(#REF!="Diferenciado",$H$4=#REF!),BDI!$G$17,IF(AND(#REF!="Diferenciado",$H$4=#REF!),BDI!$H$17,IF(#REF!="ZERO",0))))),"")</f>
        <v>#REF!</v>
      </c>
      <c r="H1126" s="161" t="e">
        <f t="shared" ca="1" si="52"/>
        <v>#REF!</v>
      </c>
      <c r="I1126" s="159" t="e">
        <f t="shared" ca="1" si="53"/>
        <v>#REF!</v>
      </c>
    </row>
    <row r="1127" spans="1:9" hidden="1" x14ac:dyDescent="0.25">
      <c r="A1127" s="102" t="s">
        <v>2283</v>
      </c>
      <c r="B1127" s="103" t="s">
        <v>4398</v>
      </c>
      <c r="C1127" s="104" t="s">
        <v>189</v>
      </c>
      <c r="D1127" s="104">
        <v>0</v>
      </c>
      <c r="E1127" s="158" t="s">
        <v>1079</v>
      </c>
      <c r="F1127" s="159" t="str">
        <f t="shared" si="51"/>
        <v/>
      </c>
      <c r="G1127" s="160" t="e">
        <f>IF(A1127&lt;&gt;"",IF(AND(#REF!="Padrão",$H$4=#REF!),BDI!$B$17,IF(AND(#REF!="Padrão",$H$4=#REF!),BDI!$C$17,IF(AND(#REF!="Diferenciado",$H$4=#REF!),BDI!$G$17,IF(AND(#REF!="Diferenciado",$H$4=#REF!),BDI!$H$17,IF(#REF!="ZERO",0))))),"")</f>
        <v>#REF!</v>
      </c>
      <c r="H1127" s="161" t="str">
        <f t="shared" si="52"/>
        <v/>
      </c>
      <c r="I1127" s="159" t="str">
        <f t="shared" si="53"/>
        <v/>
      </c>
    </row>
    <row r="1128" spans="1:9" hidden="1" x14ac:dyDescent="0.25">
      <c r="A1128" s="102" t="s">
        <v>2284</v>
      </c>
      <c r="B1128" s="103" t="s">
        <v>4399</v>
      </c>
      <c r="C1128" s="104" t="s">
        <v>189</v>
      </c>
      <c r="D1128" s="104">
        <v>0</v>
      </c>
      <c r="E1128" s="158">
        <f ca="1">OFFSET(INDEX(Composições!A:J,MATCH(Orçamentária!A1128,Composições!A:A,0),10),2,0)</f>
        <v>12.898529999999999</v>
      </c>
      <c r="F1128" s="159">
        <f t="shared" ca="1" si="51"/>
        <v>0</v>
      </c>
      <c r="G1128" s="160" t="e">
        <f>IF(A1128&lt;&gt;"",IF(AND(#REF!="Padrão",$H$4=#REF!),BDI!$B$17,IF(AND(#REF!="Padrão",$H$4=#REF!),BDI!$C$17,IF(AND(#REF!="Diferenciado",$H$4=#REF!),BDI!$G$17,IF(AND(#REF!="Diferenciado",$H$4=#REF!),BDI!$H$17,IF(#REF!="ZERO",0))))),"")</f>
        <v>#REF!</v>
      </c>
      <c r="H1128" s="161" t="e">
        <f t="shared" ca="1" si="52"/>
        <v>#REF!</v>
      </c>
      <c r="I1128" s="159" t="e">
        <f t="shared" ca="1" si="53"/>
        <v>#REF!</v>
      </c>
    </row>
    <row r="1129" spans="1:9" hidden="1" x14ac:dyDescent="0.25">
      <c r="A1129" s="102" t="s">
        <v>2285</v>
      </c>
      <c r="B1129" s="103" t="s">
        <v>4400</v>
      </c>
      <c r="C1129" s="104" t="s">
        <v>189</v>
      </c>
      <c r="D1129" s="104">
        <v>0</v>
      </c>
      <c r="E1129" s="158">
        <f ca="1">OFFSET(INDEX(Composições!A:J,MATCH(Orçamentária!A1129,Composições!A:A,0),10),2,0)</f>
        <v>52.337278399999988</v>
      </c>
      <c r="F1129" s="159">
        <f t="shared" ca="1" si="51"/>
        <v>0</v>
      </c>
      <c r="G1129" s="160" t="e">
        <f>IF(A1129&lt;&gt;"",IF(AND(#REF!="Padrão",$H$4=#REF!),BDI!$B$17,IF(AND(#REF!="Padrão",$H$4=#REF!),BDI!$C$17,IF(AND(#REF!="Diferenciado",$H$4=#REF!),BDI!$G$17,IF(AND(#REF!="Diferenciado",$H$4=#REF!),BDI!$H$17,IF(#REF!="ZERO",0))))),"")</f>
        <v>#REF!</v>
      </c>
      <c r="H1129" s="161" t="e">
        <f t="shared" ca="1" si="52"/>
        <v>#REF!</v>
      </c>
      <c r="I1129" s="159" t="e">
        <f t="shared" ca="1" si="53"/>
        <v>#REF!</v>
      </c>
    </row>
    <row r="1130" spans="1:9" hidden="1" x14ac:dyDescent="0.25">
      <c r="A1130" s="102" t="s">
        <v>2294</v>
      </c>
      <c r="B1130" s="103" t="s">
        <v>4401</v>
      </c>
      <c r="C1130" s="104" t="s">
        <v>189</v>
      </c>
      <c r="D1130" s="104">
        <v>0</v>
      </c>
      <c r="E1130" s="158">
        <f ca="1">OFFSET(INDEX(Composições!A:J,MATCH(Orçamentária!A1130,Composições!A:A,0),10),2,0)</f>
        <v>17.332588499999996</v>
      </c>
      <c r="F1130" s="159">
        <f t="shared" ca="1" si="51"/>
        <v>0</v>
      </c>
      <c r="G1130" s="160" t="e">
        <f>IF(A1130&lt;&gt;"",IF(AND(#REF!="Padrão",$H$4=#REF!),BDI!$B$17,IF(AND(#REF!="Padrão",$H$4=#REF!),BDI!$C$17,IF(AND(#REF!="Diferenciado",$H$4=#REF!),BDI!$G$17,IF(AND(#REF!="Diferenciado",$H$4=#REF!),BDI!$H$17,IF(#REF!="ZERO",0))))),"")</f>
        <v>#REF!</v>
      </c>
      <c r="H1130" s="161" t="e">
        <f t="shared" ca="1" si="52"/>
        <v>#REF!</v>
      </c>
      <c r="I1130" s="159" t="e">
        <f t="shared" ca="1" si="53"/>
        <v>#REF!</v>
      </c>
    </row>
    <row r="1131" spans="1:9" hidden="1" x14ac:dyDescent="0.25">
      <c r="A1131" s="102" t="s">
        <v>2301</v>
      </c>
      <c r="B1131" s="103" t="s">
        <v>4402</v>
      </c>
      <c r="C1131" s="104" t="s">
        <v>189</v>
      </c>
      <c r="D1131" s="104">
        <v>0</v>
      </c>
      <c r="E1131" s="158">
        <f ca="1">OFFSET(INDEX(Composições!A:J,MATCH(Orçamentária!A1131,Composições!A:A,0),10),2,0)</f>
        <v>0.98849399999999998</v>
      </c>
      <c r="F1131" s="159">
        <f t="shared" ca="1" si="51"/>
        <v>0</v>
      </c>
      <c r="G1131" s="160" t="e">
        <f>IF(A1131&lt;&gt;"",IF(AND(#REF!="Padrão",$H$4=#REF!),BDI!$B$17,IF(AND(#REF!="Padrão",$H$4=#REF!),BDI!$C$17,IF(AND(#REF!="Diferenciado",$H$4=#REF!),BDI!$G$17,IF(AND(#REF!="Diferenciado",$H$4=#REF!),BDI!$H$17,IF(#REF!="ZERO",0))))),"")</f>
        <v>#REF!</v>
      </c>
      <c r="H1131" s="161" t="e">
        <f t="shared" ca="1" si="52"/>
        <v>#REF!</v>
      </c>
      <c r="I1131" s="159" t="e">
        <f t="shared" ca="1" si="53"/>
        <v>#REF!</v>
      </c>
    </row>
    <row r="1132" spans="1:9" hidden="1" x14ac:dyDescent="0.25">
      <c r="A1132" s="102" t="s">
        <v>2303</v>
      </c>
      <c r="B1132" s="103" t="s">
        <v>4403</v>
      </c>
      <c r="C1132" s="104" t="s">
        <v>189</v>
      </c>
      <c r="D1132" s="104">
        <v>0</v>
      </c>
      <c r="E1132" s="158">
        <f ca="1">OFFSET(INDEX(Composições!A:J,MATCH(Orçamentária!A1132,Composições!A:A,0),10),2,0)</f>
        <v>23.246906600000003</v>
      </c>
      <c r="F1132" s="159">
        <f t="shared" ca="1" si="51"/>
        <v>0</v>
      </c>
      <c r="G1132" s="160" t="e">
        <f>IF(A1132&lt;&gt;"",IF(AND(#REF!="Padrão",$H$4=#REF!),BDI!$B$17,IF(AND(#REF!="Padrão",$H$4=#REF!),BDI!$C$17,IF(AND(#REF!="Diferenciado",$H$4=#REF!),BDI!$G$17,IF(AND(#REF!="Diferenciado",$H$4=#REF!),BDI!$H$17,IF(#REF!="ZERO",0))))),"")</f>
        <v>#REF!</v>
      </c>
      <c r="H1132" s="161" t="e">
        <f t="shared" ca="1" si="52"/>
        <v>#REF!</v>
      </c>
      <c r="I1132" s="159" t="e">
        <f t="shared" ca="1" si="53"/>
        <v>#REF!</v>
      </c>
    </row>
    <row r="1133" spans="1:9" hidden="1" x14ac:dyDescent="0.25">
      <c r="A1133" s="102" t="s">
        <v>2315</v>
      </c>
      <c r="B1133" s="103" t="s">
        <v>4404</v>
      </c>
      <c r="C1133" s="104" t="s">
        <v>184</v>
      </c>
      <c r="D1133" s="104">
        <v>0</v>
      </c>
      <c r="E1133" s="158">
        <f ca="1">OFFSET(INDEX(Composições!A:J,MATCH(Orçamentária!A1133,Composições!A:A,0),10),2,0)</f>
        <v>6.205654599999999</v>
      </c>
      <c r="F1133" s="159">
        <f t="shared" ca="1" si="51"/>
        <v>0</v>
      </c>
      <c r="G1133" s="160" t="e">
        <f>IF(A1133&lt;&gt;"",IF(AND(#REF!="Padrão",$H$4=#REF!),BDI!$B$17,IF(AND(#REF!="Padrão",$H$4=#REF!),BDI!$C$17,IF(AND(#REF!="Diferenciado",$H$4=#REF!),BDI!$G$17,IF(AND(#REF!="Diferenciado",$H$4=#REF!),BDI!$H$17,IF(#REF!="ZERO",0))))),"")</f>
        <v>#REF!</v>
      </c>
      <c r="H1133" s="161" t="e">
        <f t="shared" ca="1" si="52"/>
        <v>#REF!</v>
      </c>
      <c r="I1133" s="159" t="e">
        <f t="shared" ca="1" si="53"/>
        <v>#REF!</v>
      </c>
    </row>
    <row r="1134" spans="1:9" hidden="1" x14ac:dyDescent="0.25">
      <c r="A1134" s="102" t="s">
        <v>2329</v>
      </c>
      <c r="B1134" s="103" t="s">
        <v>4405</v>
      </c>
      <c r="C1134" s="104" t="s">
        <v>189</v>
      </c>
      <c r="D1134" s="104">
        <v>0</v>
      </c>
      <c r="E1134" s="158">
        <f ca="1">OFFSET(INDEX(Composições!A:J,MATCH(Orçamentária!A1134,Composições!A:A,0),10),2,0)</f>
        <v>45.016446273999996</v>
      </c>
      <c r="F1134" s="159">
        <f t="shared" ca="1" si="51"/>
        <v>0</v>
      </c>
      <c r="G1134" s="160" t="e">
        <f>IF(A1134&lt;&gt;"",IF(AND(#REF!="Padrão",$H$4=#REF!),BDI!$B$17,IF(AND(#REF!="Padrão",$H$4=#REF!),BDI!$C$17,IF(AND(#REF!="Diferenciado",$H$4=#REF!),BDI!$G$17,IF(AND(#REF!="Diferenciado",$H$4=#REF!),BDI!$H$17,IF(#REF!="ZERO",0))))),"")</f>
        <v>#REF!</v>
      </c>
      <c r="H1134" s="161" t="e">
        <f t="shared" ca="1" si="52"/>
        <v>#REF!</v>
      </c>
      <c r="I1134" s="159" t="e">
        <f t="shared" ca="1" si="53"/>
        <v>#REF!</v>
      </c>
    </row>
    <row r="1135" spans="1:9" hidden="1" x14ac:dyDescent="0.25">
      <c r="A1135" s="102" t="s">
        <v>2345</v>
      </c>
      <c r="B1135" s="103" t="s">
        <v>4406</v>
      </c>
      <c r="C1135" s="104" t="s">
        <v>228</v>
      </c>
      <c r="D1135" s="104">
        <v>0</v>
      </c>
      <c r="E1135" s="158">
        <f ca="1">OFFSET(INDEX(Composições!A:J,MATCH(Orçamentária!A1135,Composições!A:A,0),10),2,0)</f>
        <v>502.21270724999994</v>
      </c>
      <c r="F1135" s="159">
        <f t="shared" ca="1" si="51"/>
        <v>0</v>
      </c>
      <c r="G1135" s="160" t="e">
        <f>IF(A1135&lt;&gt;"",IF(AND(#REF!="Padrão",$H$4=#REF!),BDI!$B$17,IF(AND(#REF!="Padrão",$H$4=#REF!),BDI!$C$17,IF(AND(#REF!="Diferenciado",$H$4=#REF!),BDI!$G$17,IF(AND(#REF!="Diferenciado",$H$4=#REF!),BDI!$H$17,IF(#REF!="ZERO",0))))),"")</f>
        <v>#REF!</v>
      </c>
      <c r="H1135" s="161" t="e">
        <f t="shared" ca="1" si="52"/>
        <v>#REF!</v>
      </c>
      <c r="I1135" s="159" t="e">
        <f t="shared" ca="1" si="53"/>
        <v>#REF!</v>
      </c>
    </row>
    <row r="1136" spans="1:9" hidden="1" x14ac:dyDescent="0.25">
      <c r="A1136" s="102" t="s">
        <v>2384</v>
      </c>
      <c r="B1136" s="103" t="s">
        <v>4407</v>
      </c>
      <c r="C1136" s="104" t="s">
        <v>228</v>
      </c>
      <c r="D1136" s="104">
        <v>0</v>
      </c>
      <c r="E1136" s="158">
        <f ca="1">OFFSET(INDEX(Composições!A:J,MATCH(Orçamentária!A1136,Composições!A:A,0),10),2,0)</f>
        <v>171.91199999999998</v>
      </c>
      <c r="F1136" s="159">
        <f t="shared" ca="1" si="51"/>
        <v>0</v>
      </c>
      <c r="G1136" s="160" t="e">
        <f>IF(A1136&lt;&gt;"",IF(AND(#REF!="Padrão",$H$4=#REF!),BDI!$B$17,IF(AND(#REF!="Padrão",$H$4=#REF!),BDI!$C$17,IF(AND(#REF!="Diferenciado",$H$4=#REF!),BDI!$G$17,IF(AND(#REF!="Diferenciado",$H$4=#REF!),BDI!$H$17,IF(#REF!="ZERO",0))))),"")</f>
        <v>#REF!</v>
      </c>
      <c r="H1136" s="161" t="e">
        <f t="shared" ca="1" si="52"/>
        <v>#REF!</v>
      </c>
      <c r="I1136" s="159" t="e">
        <f t="shared" ca="1" si="53"/>
        <v>#REF!</v>
      </c>
    </row>
    <row r="1137" spans="1:9" hidden="1" x14ac:dyDescent="0.25">
      <c r="A1137" s="102" t="s">
        <v>2391</v>
      </c>
      <c r="B1137" s="103" t="s">
        <v>4408</v>
      </c>
      <c r="C1137" s="104" t="s">
        <v>189</v>
      </c>
      <c r="D1137" s="104">
        <v>0</v>
      </c>
      <c r="E1137" s="158">
        <f ca="1">OFFSET(INDEX(Composições!A:J,MATCH(Orçamentária!A1137,Composições!A:A,0),10),2,0)</f>
        <v>14.4820242</v>
      </c>
      <c r="F1137" s="159">
        <f t="shared" ca="1" si="51"/>
        <v>0</v>
      </c>
      <c r="G1137" s="160" t="e">
        <f>IF(A1137&lt;&gt;"",IF(AND(#REF!="Padrão",$H$4=#REF!),BDI!$B$17,IF(AND(#REF!="Padrão",$H$4=#REF!),BDI!$C$17,IF(AND(#REF!="Diferenciado",$H$4=#REF!),BDI!$G$17,IF(AND(#REF!="Diferenciado",$H$4=#REF!),BDI!$H$17,IF(#REF!="ZERO",0))))),"")</f>
        <v>#REF!</v>
      </c>
      <c r="H1137" s="161" t="e">
        <f t="shared" ca="1" si="52"/>
        <v>#REF!</v>
      </c>
      <c r="I1137" s="159" t="e">
        <f t="shared" ca="1" si="53"/>
        <v>#REF!</v>
      </c>
    </row>
    <row r="1138" spans="1:9" hidden="1" x14ac:dyDescent="0.25">
      <c r="A1138" s="102" t="s">
        <v>2401</v>
      </c>
      <c r="B1138" s="103" t="s">
        <v>4409</v>
      </c>
      <c r="C1138" s="104" t="s">
        <v>189</v>
      </c>
      <c r="D1138" s="104">
        <v>0</v>
      </c>
      <c r="E1138" s="158">
        <f ca="1">OFFSET(INDEX(Composições!A:J,MATCH(Orçamentária!A1138,Composições!A:A,0),10),2,0)</f>
        <v>7.7212864999999988</v>
      </c>
      <c r="F1138" s="159">
        <f t="shared" ca="1" si="51"/>
        <v>0</v>
      </c>
      <c r="G1138" s="160" t="e">
        <f>IF(A1138&lt;&gt;"",IF(AND(#REF!="Padrão",$H$4=#REF!),BDI!$B$17,IF(AND(#REF!="Padrão",$H$4=#REF!),BDI!$C$17,IF(AND(#REF!="Diferenciado",$H$4=#REF!),BDI!$G$17,IF(AND(#REF!="Diferenciado",$H$4=#REF!),BDI!$H$17,IF(#REF!="ZERO",0))))),"")</f>
        <v>#REF!</v>
      </c>
      <c r="H1138" s="161" t="e">
        <f t="shared" ca="1" si="52"/>
        <v>#REF!</v>
      </c>
      <c r="I1138" s="159" t="e">
        <f t="shared" ca="1" si="53"/>
        <v>#REF!</v>
      </c>
    </row>
    <row r="1139" spans="1:9" hidden="1" x14ac:dyDescent="0.25">
      <c r="A1139" s="102" t="s">
        <v>2413</v>
      </c>
      <c r="B1139" s="103" t="s">
        <v>4410</v>
      </c>
      <c r="C1139" s="104" t="s">
        <v>184</v>
      </c>
      <c r="D1139" s="104">
        <v>0</v>
      </c>
      <c r="E1139" s="158">
        <f ca="1">OFFSET(INDEX(Composições!A:J,MATCH(Orçamentária!A1139,Composições!A:A,0),10),2,0)</f>
        <v>6.7842729999999998</v>
      </c>
      <c r="F1139" s="159">
        <f t="shared" ca="1" si="51"/>
        <v>0</v>
      </c>
      <c r="G1139" s="160" t="e">
        <f>IF(A1139&lt;&gt;"",IF(AND(#REF!="Padrão",$H$4=#REF!),BDI!$B$17,IF(AND(#REF!="Padrão",$H$4=#REF!),BDI!$C$17,IF(AND(#REF!="Diferenciado",$H$4=#REF!),BDI!$G$17,IF(AND(#REF!="Diferenciado",$H$4=#REF!),BDI!$H$17,IF(#REF!="ZERO",0))))),"")</f>
        <v>#REF!</v>
      </c>
      <c r="H1139" s="161" t="e">
        <f t="shared" ca="1" si="52"/>
        <v>#REF!</v>
      </c>
      <c r="I1139" s="159" t="e">
        <f t="shared" ca="1" si="53"/>
        <v>#REF!</v>
      </c>
    </row>
    <row r="1140" spans="1:9" hidden="1" x14ac:dyDescent="0.25">
      <c r="A1140" s="102" t="s">
        <v>2417</v>
      </c>
      <c r="B1140" s="103" t="s">
        <v>4411</v>
      </c>
      <c r="C1140" s="104" t="s">
        <v>189</v>
      </c>
      <c r="D1140" s="104">
        <v>0</v>
      </c>
      <c r="E1140" s="158">
        <f ca="1">OFFSET(INDEX(Composições!A:J,MATCH(Orçamentária!A1140,Composições!A:A,0),10),2,0)</f>
        <v>7.7212864999999988</v>
      </c>
      <c r="F1140" s="159">
        <f t="shared" ca="1" si="51"/>
        <v>0</v>
      </c>
      <c r="G1140" s="160" t="e">
        <f>IF(A1140&lt;&gt;"",IF(AND(#REF!="Padrão",$H$4=#REF!),BDI!$B$17,IF(AND(#REF!="Padrão",$H$4=#REF!),BDI!$C$17,IF(AND(#REF!="Diferenciado",$H$4=#REF!),BDI!$G$17,IF(AND(#REF!="Diferenciado",$H$4=#REF!),BDI!$H$17,IF(#REF!="ZERO",0))))),"")</f>
        <v>#REF!</v>
      </c>
      <c r="H1140" s="161" t="e">
        <f t="shared" ca="1" si="52"/>
        <v>#REF!</v>
      </c>
      <c r="I1140" s="159" t="e">
        <f t="shared" ca="1" si="53"/>
        <v>#REF!</v>
      </c>
    </row>
    <row r="1141" spans="1:9" hidden="1" x14ac:dyDescent="0.25">
      <c r="A1141" s="102" t="s">
        <v>2419</v>
      </c>
      <c r="B1141" s="103" t="s">
        <v>4412</v>
      </c>
      <c r="C1141" s="104" t="s">
        <v>184</v>
      </c>
      <c r="D1141" s="104">
        <v>0</v>
      </c>
      <c r="E1141" s="158">
        <f ca="1">OFFSET(INDEX(Composições!A:J,MATCH(Orçamentária!A1141,Composições!A:A,0),10),2,0)</f>
        <v>6.7842729999999998</v>
      </c>
      <c r="F1141" s="159">
        <f t="shared" ca="1" si="51"/>
        <v>0</v>
      </c>
      <c r="G1141" s="160" t="e">
        <f>IF(A1141&lt;&gt;"",IF(AND(#REF!="Padrão",$H$4=#REF!),BDI!$B$17,IF(AND(#REF!="Padrão",$H$4=#REF!),BDI!$C$17,IF(AND(#REF!="Diferenciado",$H$4=#REF!),BDI!$G$17,IF(AND(#REF!="Diferenciado",$H$4=#REF!),BDI!$H$17,IF(#REF!="ZERO",0))))),"")</f>
        <v>#REF!</v>
      </c>
      <c r="H1141" s="161" t="e">
        <f t="shared" ca="1" si="52"/>
        <v>#REF!</v>
      </c>
      <c r="I1141" s="159" t="e">
        <f t="shared" ca="1" si="53"/>
        <v>#REF!</v>
      </c>
    </row>
    <row r="1142" spans="1:9" hidden="1" x14ac:dyDescent="0.25">
      <c r="A1142" s="102" t="s">
        <v>2421</v>
      </c>
      <c r="B1142" s="103" t="s">
        <v>4413</v>
      </c>
      <c r="C1142" s="104" t="s">
        <v>189</v>
      </c>
      <c r="D1142" s="104">
        <v>0</v>
      </c>
      <c r="E1142" s="158">
        <f ca="1">OFFSET(INDEX(Composições!A:J,MATCH(Orçamentária!A1142,Composições!A:A,0),10),2,0)</f>
        <v>14.668949999999999</v>
      </c>
      <c r="F1142" s="159">
        <f t="shared" ca="1" si="51"/>
        <v>0</v>
      </c>
      <c r="G1142" s="160" t="e">
        <f>IF(A1142&lt;&gt;"",IF(AND(#REF!="Padrão",$H$4=#REF!),BDI!$B$17,IF(AND(#REF!="Padrão",$H$4=#REF!),BDI!$C$17,IF(AND(#REF!="Diferenciado",$H$4=#REF!),BDI!$G$17,IF(AND(#REF!="Diferenciado",$H$4=#REF!),BDI!$H$17,IF(#REF!="ZERO",0))))),"")</f>
        <v>#REF!</v>
      </c>
      <c r="H1142" s="161" t="e">
        <f t="shared" ca="1" si="52"/>
        <v>#REF!</v>
      </c>
      <c r="I1142" s="159" t="e">
        <f t="shared" ca="1" si="53"/>
        <v>#REF!</v>
      </c>
    </row>
    <row r="1143" spans="1:9" ht="25.5" hidden="1" x14ac:dyDescent="0.25">
      <c r="A1143" s="102" t="s">
        <v>2430</v>
      </c>
      <c r="B1143" s="103" t="s">
        <v>4414</v>
      </c>
      <c r="C1143" s="104" t="s">
        <v>184</v>
      </c>
      <c r="D1143" s="104">
        <v>0</v>
      </c>
      <c r="E1143" s="158">
        <f ca="1">OFFSET(INDEX(Composições!A:J,MATCH(Orçamentária!A1143,Composições!A:A,0),10),2,0)</f>
        <v>2.07423</v>
      </c>
      <c r="F1143" s="159">
        <f t="shared" ca="1" si="51"/>
        <v>0</v>
      </c>
      <c r="G1143" s="160" t="e">
        <f>IF(A1143&lt;&gt;"",IF(AND(#REF!="Padrão",$H$4=#REF!),BDI!$B$17,IF(AND(#REF!="Padrão",$H$4=#REF!),BDI!$C$17,IF(AND(#REF!="Diferenciado",$H$4=#REF!),BDI!$G$17,IF(AND(#REF!="Diferenciado",$H$4=#REF!),BDI!$H$17,IF(#REF!="ZERO",0))))),"")</f>
        <v>#REF!</v>
      </c>
      <c r="H1143" s="161" t="e">
        <f t="shared" ca="1" si="52"/>
        <v>#REF!</v>
      </c>
      <c r="I1143" s="159" t="e">
        <f t="shared" ca="1" si="53"/>
        <v>#REF!</v>
      </c>
    </row>
    <row r="1144" spans="1:9" hidden="1" x14ac:dyDescent="0.25">
      <c r="A1144" s="102" t="s">
        <v>2434</v>
      </c>
      <c r="B1144" s="103" t="s">
        <v>4415</v>
      </c>
      <c r="C1144" s="104" t="s">
        <v>184</v>
      </c>
      <c r="D1144" s="104">
        <v>0</v>
      </c>
      <c r="E1144" s="158">
        <f ca="1">OFFSET(INDEX(Composições!A:J,MATCH(Orçamentária!A1144,Composições!A:A,0),10),2,0)</f>
        <v>2.07423</v>
      </c>
      <c r="F1144" s="159">
        <f t="shared" ca="1" si="51"/>
        <v>0</v>
      </c>
      <c r="G1144" s="160" t="e">
        <f>IF(A1144&lt;&gt;"",IF(AND(#REF!="Padrão",$H$4=#REF!),BDI!$B$17,IF(AND(#REF!="Padrão",$H$4=#REF!),BDI!$C$17,IF(AND(#REF!="Diferenciado",$H$4=#REF!),BDI!$G$17,IF(AND(#REF!="Diferenciado",$H$4=#REF!),BDI!$H$17,IF(#REF!="ZERO",0))))),"")</f>
        <v>#REF!</v>
      </c>
      <c r="H1144" s="161" t="e">
        <f t="shared" ca="1" si="52"/>
        <v>#REF!</v>
      </c>
      <c r="I1144" s="159" t="e">
        <f t="shared" ca="1" si="53"/>
        <v>#REF!</v>
      </c>
    </row>
    <row r="1145" spans="1:9" hidden="1" x14ac:dyDescent="0.25">
      <c r="A1145" s="102" t="s">
        <v>2437</v>
      </c>
      <c r="B1145" s="103" t="s">
        <v>4416</v>
      </c>
      <c r="C1145" s="104" t="s">
        <v>189</v>
      </c>
      <c r="D1145" s="104">
        <v>0</v>
      </c>
      <c r="E1145" s="158">
        <f ca="1">OFFSET(INDEX(Composições!A:J,MATCH(Orçamentária!A1145,Composições!A:A,0),10),2,0)</f>
        <v>27.3504088</v>
      </c>
      <c r="F1145" s="159">
        <f t="shared" ca="1" si="51"/>
        <v>0</v>
      </c>
      <c r="G1145" s="160" t="e">
        <f>IF(A1145&lt;&gt;"",IF(AND(#REF!="Padrão",$H$4=#REF!),BDI!$B$17,IF(AND(#REF!="Padrão",$H$4=#REF!),BDI!$C$17,IF(AND(#REF!="Diferenciado",$H$4=#REF!),BDI!$G$17,IF(AND(#REF!="Diferenciado",$H$4=#REF!),BDI!$H$17,IF(#REF!="ZERO",0))))),"")</f>
        <v>#REF!</v>
      </c>
      <c r="H1145" s="161" t="e">
        <f t="shared" ca="1" si="52"/>
        <v>#REF!</v>
      </c>
      <c r="I1145" s="159" t="e">
        <f t="shared" ca="1" si="53"/>
        <v>#REF!</v>
      </c>
    </row>
    <row r="1146" spans="1:9" hidden="1" x14ac:dyDescent="0.25">
      <c r="A1146" s="102" t="s">
        <v>2445</v>
      </c>
      <c r="B1146" s="103" t="s">
        <v>4417</v>
      </c>
      <c r="C1146" s="104" t="s">
        <v>184</v>
      </c>
      <c r="D1146" s="104">
        <v>0</v>
      </c>
      <c r="E1146" s="158">
        <f ca="1">OFFSET(INDEX(Composições!A:J,MATCH(Orçamentária!A1146,Composições!A:A,0),10),2,0)</f>
        <v>34.674781500000002</v>
      </c>
      <c r="F1146" s="159">
        <f t="shared" ca="1" si="51"/>
        <v>0</v>
      </c>
      <c r="G1146" s="160" t="e">
        <f>IF(A1146&lt;&gt;"",IF(AND(#REF!="Padrão",$H$4=#REF!),BDI!$B$17,IF(AND(#REF!="Padrão",$H$4=#REF!),BDI!$C$17,IF(AND(#REF!="Diferenciado",$H$4=#REF!),BDI!$G$17,IF(AND(#REF!="Diferenciado",$H$4=#REF!),BDI!$H$17,IF(#REF!="ZERO",0))))),"")</f>
        <v>#REF!</v>
      </c>
      <c r="H1146" s="161" t="e">
        <f t="shared" ca="1" si="52"/>
        <v>#REF!</v>
      </c>
      <c r="I1146" s="159" t="e">
        <f t="shared" ca="1" si="53"/>
        <v>#REF!</v>
      </c>
    </row>
    <row r="1147" spans="1:9" hidden="1" x14ac:dyDescent="0.25">
      <c r="A1147" s="102" t="s">
        <v>2448</v>
      </c>
      <c r="B1147" s="103" t="s">
        <v>4418</v>
      </c>
      <c r="C1147" s="104" t="s">
        <v>184</v>
      </c>
      <c r="D1147" s="104">
        <v>0</v>
      </c>
      <c r="E1147" s="158">
        <f ca="1">OFFSET(INDEX(Composições!A:J,MATCH(Orçamentária!A1147,Composições!A:A,0),10),2,0)</f>
        <v>33.269779000000007</v>
      </c>
      <c r="F1147" s="159">
        <f t="shared" ca="1" si="51"/>
        <v>0</v>
      </c>
      <c r="G1147" s="160" t="e">
        <f>IF(A1147&lt;&gt;"",IF(AND(#REF!="Padrão",$H$4=#REF!),BDI!$B$17,IF(AND(#REF!="Padrão",$H$4=#REF!),BDI!$C$17,IF(AND(#REF!="Diferenciado",$H$4=#REF!),BDI!$G$17,IF(AND(#REF!="Diferenciado",$H$4=#REF!),BDI!$H$17,IF(#REF!="ZERO",0))))),"")</f>
        <v>#REF!</v>
      </c>
      <c r="H1147" s="161" t="e">
        <f t="shared" ca="1" si="52"/>
        <v>#REF!</v>
      </c>
      <c r="I1147" s="159" t="e">
        <f t="shared" ca="1" si="53"/>
        <v>#REF!</v>
      </c>
    </row>
    <row r="1148" spans="1:9" hidden="1" x14ac:dyDescent="0.25">
      <c r="A1148" s="102" t="s">
        <v>2452</v>
      </c>
      <c r="B1148" s="103" t="s">
        <v>4419</v>
      </c>
      <c r="C1148" s="104" t="s">
        <v>189</v>
      </c>
      <c r="D1148" s="104">
        <v>0</v>
      </c>
      <c r="E1148" s="158">
        <f ca="1">OFFSET(INDEX(Composições!A:J,MATCH(Orçamentária!A1148,Composições!A:A,0),10),2,0)</f>
        <v>5.185575</v>
      </c>
      <c r="F1148" s="159">
        <f t="shared" ca="1" si="51"/>
        <v>0</v>
      </c>
      <c r="G1148" s="160" t="e">
        <f>IF(A1148&lt;&gt;"",IF(AND(#REF!="Padrão",$H$4=#REF!),BDI!$B$17,IF(AND(#REF!="Padrão",$H$4=#REF!),BDI!$C$17,IF(AND(#REF!="Diferenciado",$H$4=#REF!),BDI!$G$17,IF(AND(#REF!="Diferenciado",$H$4=#REF!),BDI!$H$17,IF(#REF!="ZERO",0))))),"")</f>
        <v>#REF!</v>
      </c>
      <c r="H1148" s="161" t="e">
        <f t="shared" ca="1" si="52"/>
        <v>#REF!</v>
      </c>
      <c r="I1148" s="159" t="e">
        <f t="shared" ca="1" si="53"/>
        <v>#REF!</v>
      </c>
    </row>
    <row r="1149" spans="1:9" hidden="1" x14ac:dyDescent="0.25">
      <c r="A1149" s="102" t="s">
        <v>4420</v>
      </c>
      <c r="B1149" s="103" t="s">
        <v>4421</v>
      </c>
      <c r="C1149" s="104" t="s">
        <v>32</v>
      </c>
      <c r="D1149" s="104">
        <v>0</v>
      </c>
      <c r="E1149" s="158" t="s">
        <v>1079</v>
      </c>
      <c r="F1149" s="159" t="str">
        <f t="shared" si="51"/>
        <v/>
      </c>
      <c r="G1149" s="160" t="e">
        <f>IF(A1149&lt;&gt;"",IF(AND(#REF!="Padrão",$H$4=#REF!),BDI!$B$17,IF(AND(#REF!="Padrão",$H$4=#REF!),BDI!$C$17,IF(AND(#REF!="Diferenciado",$H$4=#REF!),BDI!$G$17,IF(AND(#REF!="Diferenciado",$H$4=#REF!),BDI!$H$17,IF(#REF!="ZERO",0))))),"")</f>
        <v>#REF!</v>
      </c>
      <c r="H1149" s="161" t="str">
        <f t="shared" si="52"/>
        <v/>
      </c>
      <c r="I1149" s="159" t="str">
        <f t="shared" si="53"/>
        <v/>
      </c>
    </row>
    <row r="1150" spans="1:9" hidden="1" x14ac:dyDescent="0.25">
      <c r="A1150" s="102" t="s">
        <v>4422</v>
      </c>
      <c r="B1150" s="103" t="s">
        <v>4423</v>
      </c>
      <c r="C1150" s="104" t="s">
        <v>32</v>
      </c>
      <c r="D1150" s="104">
        <v>0</v>
      </c>
      <c r="E1150" s="158" t="s">
        <v>1079</v>
      </c>
      <c r="F1150" s="159" t="str">
        <f t="shared" si="51"/>
        <v/>
      </c>
      <c r="G1150" s="160" t="e">
        <f>IF(A1150&lt;&gt;"",IF(AND(#REF!="Padrão",$H$4=#REF!),BDI!$B$17,IF(AND(#REF!="Padrão",$H$4=#REF!),BDI!$C$17,IF(AND(#REF!="Diferenciado",$H$4=#REF!),BDI!$G$17,IF(AND(#REF!="Diferenciado",$H$4=#REF!),BDI!$H$17,IF(#REF!="ZERO",0))))),"")</f>
        <v>#REF!</v>
      </c>
      <c r="H1150" s="161" t="str">
        <f t="shared" si="52"/>
        <v/>
      </c>
      <c r="I1150" s="159" t="str">
        <f t="shared" si="53"/>
        <v/>
      </c>
    </row>
    <row r="1151" spans="1:9" hidden="1" x14ac:dyDescent="0.25">
      <c r="A1151" s="102" t="s">
        <v>4424</v>
      </c>
      <c r="B1151" s="103" t="s">
        <v>4425</v>
      </c>
      <c r="C1151" s="104" t="s">
        <v>2802</v>
      </c>
      <c r="D1151" s="104">
        <v>0</v>
      </c>
      <c r="E1151" s="158" t="s">
        <v>1079</v>
      </c>
      <c r="F1151" s="159" t="str">
        <f t="shared" si="51"/>
        <v/>
      </c>
      <c r="G1151" s="160" t="e">
        <f>IF(A1151&lt;&gt;"",IF(AND(#REF!="Padrão",$H$4=#REF!),BDI!$B$17,IF(AND(#REF!="Padrão",$H$4=#REF!),BDI!$C$17,IF(AND(#REF!="Diferenciado",$H$4=#REF!),BDI!$G$17,IF(AND(#REF!="Diferenciado",$H$4=#REF!),BDI!$H$17,IF(#REF!="ZERO",0))))),"")</f>
        <v>#REF!</v>
      </c>
      <c r="H1151" s="161" t="str">
        <f t="shared" si="52"/>
        <v/>
      </c>
      <c r="I1151" s="159" t="str">
        <f t="shared" si="53"/>
        <v/>
      </c>
    </row>
    <row r="1152" spans="1:9" hidden="1" x14ac:dyDescent="0.25">
      <c r="A1152" s="102" t="s">
        <v>2458</v>
      </c>
      <c r="B1152" s="103" t="s">
        <v>4426</v>
      </c>
      <c r="C1152" s="104" t="s">
        <v>184</v>
      </c>
      <c r="D1152" s="104">
        <v>0</v>
      </c>
      <c r="E1152" s="158">
        <f ca="1">OFFSET(INDEX(Composições!A:J,MATCH(Orçamentária!A1152,Composições!A:A,0),10),2,0)</f>
        <v>205.98207150532505</v>
      </c>
      <c r="F1152" s="159">
        <f t="shared" ca="1" si="51"/>
        <v>0</v>
      </c>
      <c r="G1152" s="160" t="e">
        <f>IF(A1152&lt;&gt;"",IF(AND(#REF!="Padrão",$H$4=#REF!),BDI!$B$17,IF(AND(#REF!="Padrão",$H$4=#REF!),BDI!$C$17,IF(AND(#REF!="Diferenciado",$H$4=#REF!),BDI!$G$17,IF(AND(#REF!="Diferenciado",$H$4=#REF!),BDI!$H$17,IF(#REF!="ZERO",0))))),"")</f>
        <v>#REF!</v>
      </c>
      <c r="H1152" s="161" t="e">
        <f t="shared" ca="1" si="52"/>
        <v>#REF!</v>
      </c>
      <c r="I1152" s="159" t="e">
        <f t="shared" ca="1" si="53"/>
        <v>#REF!</v>
      </c>
    </row>
    <row r="1153" spans="1:9" hidden="1" x14ac:dyDescent="0.25">
      <c r="A1153" s="102" t="s">
        <v>2464</v>
      </c>
      <c r="B1153" s="103" t="s">
        <v>4427</v>
      </c>
      <c r="C1153" s="104" t="s">
        <v>184</v>
      </c>
      <c r="D1153" s="104">
        <v>0</v>
      </c>
      <c r="E1153" s="158">
        <f ca="1">OFFSET(INDEX(Composições!A:J,MATCH(Orçamentária!A1153,Composições!A:A,0),10),2,0)</f>
        <v>60.585711505324994</v>
      </c>
      <c r="F1153" s="159">
        <f t="shared" ca="1" si="51"/>
        <v>0</v>
      </c>
      <c r="G1153" s="160" t="e">
        <f>IF(A1153&lt;&gt;"",IF(AND(#REF!="Padrão",$H$4=#REF!),BDI!$B$17,IF(AND(#REF!="Padrão",$H$4=#REF!),BDI!$C$17,IF(AND(#REF!="Diferenciado",$H$4=#REF!),BDI!$G$17,IF(AND(#REF!="Diferenciado",$H$4=#REF!),BDI!$H$17,IF(#REF!="ZERO",0))))),"")</f>
        <v>#REF!</v>
      </c>
      <c r="H1153" s="161" t="e">
        <f t="shared" ca="1" si="52"/>
        <v>#REF!</v>
      </c>
      <c r="I1153" s="159" t="e">
        <f t="shared" ca="1" si="53"/>
        <v>#REF!</v>
      </c>
    </row>
    <row r="1154" spans="1:9" hidden="1" x14ac:dyDescent="0.25">
      <c r="A1154" s="102" t="s">
        <v>2465</v>
      </c>
      <c r="B1154" s="103" t="s">
        <v>4428</v>
      </c>
      <c r="C1154" s="104" t="s">
        <v>189</v>
      </c>
      <c r="D1154" s="104">
        <v>0</v>
      </c>
      <c r="E1154" s="158">
        <f ca="1">OFFSET(INDEX(Composições!A:J,MATCH(Orçamentária!A1154,Composições!A:A,0),10),2,0)</f>
        <v>1.5758599999999998</v>
      </c>
      <c r="F1154" s="159">
        <f t="shared" ca="1" si="51"/>
        <v>0</v>
      </c>
      <c r="G1154" s="160" t="e">
        <f>IF(A1154&lt;&gt;"",IF(AND(#REF!="Padrão",$H$4=#REF!),BDI!$B$17,IF(AND(#REF!="Padrão",$H$4=#REF!),BDI!$C$17,IF(AND(#REF!="Diferenciado",$H$4=#REF!),BDI!$G$17,IF(AND(#REF!="Diferenciado",$H$4=#REF!),BDI!$H$17,IF(#REF!="ZERO",0))))),"")</f>
        <v>#REF!</v>
      </c>
      <c r="H1154" s="161" t="e">
        <f t="shared" ca="1" si="52"/>
        <v>#REF!</v>
      </c>
      <c r="I1154" s="159" t="e">
        <f t="shared" ca="1" si="53"/>
        <v>#REF!</v>
      </c>
    </row>
    <row r="1155" spans="1:9" hidden="1" x14ac:dyDescent="0.25">
      <c r="A1155" s="102" t="s">
        <v>2472</v>
      </c>
      <c r="B1155" s="103" t="s">
        <v>4429</v>
      </c>
      <c r="C1155" s="104" t="s">
        <v>32</v>
      </c>
      <c r="D1155" s="104">
        <v>0</v>
      </c>
      <c r="E1155" s="158">
        <f ca="1">OFFSET(INDEX(Composições!A:J,MATCH(Orçamentária!A1155,Composições!A:A,0),10),2,0)</f>
        <v>141.81324594999998</v>
      </c>
      <c r="F1155" s="159">
        <f t="shared" ca="1" si="51"/>
        <v>0</v>
      </c>
      <c r="G1155" s="160" t="e">
        <f>IF(A1155&lt;&gt;"",IF(AND(#REF!="Padrão",$H$4=#REF!),BDI!$B$17,IF(AND(#REF!="Padrão",$H$4=#REF!),BDI!$C$17,IF(AND(#REF!="Diferenciado",$H$4=#REF!),BDI!$G$17,IF(AND(#REF!="Diferenciado",$H$4=#REF!),BDI!$H$17,IF(#REF!="ZERO",0))))),"")</f>
        <v>#REF!</v>
      </c>
      <c r="H1155" s="161" t="e">
        <f t="shared" ca="1" si="52"/>
        <v>#REF!</v>
      </c>
      <c r="I1155" s="159" t="e">
        <f t="shared" ca="1" si="53"/>
        <v>#REF!</v>
      </c>
    </row>
    <row r="1156" spans="1:9" hidden="1" x14ac:dyDescent="0.25">
      <c r="A1156" s="102" t="s">
        <v>2487</v>
      </c>
      <c r="B1156" s="103" t="s">
        <v>4430</v>
      </c>
      <c r="C1156" s="104" t="s">
        <v>32</v>
      </c>
      <c r="D1156" s="104">
        <v>0</v>
      </c>
      <c r="E1156" s="158">
        <f ca="1">OFFSET(INDEX(Composições!A:J,MATCH(Orçamentária!A1156,Composições!A:A,0),10),2,0)</f>
        <v>22.03526995</v>
      </c>
      <c r="F1156" s="159">
        <f t="shared" ca="1" si="51"/>
        <v>0</v>
      </c>
      <c r="G1156" s="160" t="e">
        <f>IF(A1156&lt;&gt;"",IF(AND(#REF!="Padrão",$H$4=#REF!),BDI!$B$17,IF(AND(#REF!="Padrão",$H$4=#REF!),BDI!$C$17,IF(AND(#REF!="Diferenciado",$H$4=#REF!),BDI!$G$17,IF(AND(#REF!="Diferenciado",$H$4=#REF!),BDI!$H$17,IF(#REF!="ZERO",0))))),"")</f>
        <v>#REF!</v>
      </c>
      <c r="H1156" s="161" t="e">
        <f t="shared" ca="1" si="52"/>
        <v>#REF!</v>
      </c>
      <c r="I1156" s="159" t="e">
        <f t="shared" ca="1" si="53"/>
        <v>#REF!</v>
      </c>
    </row>
    <row r="1157" spans="1:9" hidden="1" x14ac:dyDescent="0.25">
      <c r="A1157" s="102" t="s">
        <v>2488</v>
      </c>
      <c r="B1157" s="103" t="s">
        <v>4431</v>
      </c>
      <c r="C1157" s="104" t="s">
        <v>189</v>
      </c>
      <c r="D1157" s="104">
        <v>0</v>
      </c>
      <c r="E1157" s="158">
        <f ca="1">OFFSET(INDEX(Composições!A:J,MATCH(Orçamentária!A1157,Composições!A:A,0),10),2,0)</f>
        <v>31.225557349959999</v>
      </c>
      <c r="F1157" s="159">
        <f t="shared" ca="1" si="51"/>
        <v>0</v>
      </c>
      <c r="G1157" s="160" t="e">
        <f>IF(A1157&lt;&gt;"",IF(AND(#REF!="Padrão",$H$4=#REF!),BDI!$B$17,IF(AND(#REF!="Padrão",$H$4=#REF!),BDI!$C$17,IF(AND(#REF!="Diferenciado",$H$4=#REF!),BDI!$G$17,IF(AND(#REF!="Diferenciado",$H$4=#REF!),BDI!$H$17,IF(#REF!="ZERO",0))))),"")</f>
        <v>#REF!</v>
      </c>
      <c r="H1157" s="161" t="e">
        <f t="shared" ca="1" si="52"/>
        <v>#REF!</v>
      </c>
      <c r="I1157" s="159" t="e">
        <f t="shared" ca="1" si="53"/>
        <v>#REF!</v>
      </c>
    </row>
    <row r="1158" spans="1:9" hidden="1" x14ac:dyDescent="0.25">
      <c r="A1158" s="102" t="s">
        <v>2494</v>
      </c>
      <c r="B1158" s="103" t="s">
        <v>4432</v>
      </c>
      <c r="C1158" s="104" t="s">
        <v>189</v>
      </c>
      <c r="D1158" s="104">
        <v>0</v>
      </c>
      <c r="E1158" s="158">
        <f ca="1">OFFSET(INDEX(Composições!A:J,MATCH(Orçamentária!A1158,Composições!A:A,0),10),2,0)</f>
        <v>36.603313116760006</v>
      </c>
      <c r="F1158" s="159">
        <f t="shared" ca="1" si="51"/>
        <v>0</v>
      </c>
      <c r="G1158" s="160" t="e">
        <f>IF(A1158&lt;&gt;"",IF(AND(#REF!="Padrão",$H$4=#REF!),BDI!$B$17,IF(AND(#REF!="Padrão",$H$4=#REF!),BDI!$C$17,IF(AND(#REF!="Diferenciado",$H$4=#REF!),BDI!$G$17,IF(AND(#REF!="Diferenciado",$H$4=#REF!),BDI!$H$17,IF(#REF!="ZERO",0))))),"")</f>
        <v>#REF!</v>
      </c>
      <c r="H1158" s="161" t="e">
        <f t="shared" ca="1" si="52"/>
        <v>#REF!</v>
      </c>
      <c r="I1158" s="159" t="e">
        <f t="shared" ca="1" si="53"/>
        <v>#REF!</v>
      </c>
    </row>
    <row r="1159" spans="1:9" hidden="1" x14ac:dyDescent="0.25">
      <c r="A1159" s="102" t="s">
        <v>2497</v>
      </c>
      <c r="B1159" s="103" t="s">
        <v>4433</v>
      </c>
      <c r="C1159" s="104" t="s">
        <v>189</v>
      </c>
      <c r="D1159" s="104">
        <v>0</v>
      </c>
      <c r="E1159" s="158">
        <f ca="1">OFFSET(INDEX(Composições!A:J,MATCH(Orçamentária!A1159,Composições!A:A,0),10),2,0)</f>
        <v>5.8907600000000002</v>
      </c>
      <c r="F1159" s="159">
        <f t="shared" ref="F1159:F1222" ca="1" si="54">IF(ISNUMBER(E1159),D1159*E1159,"")</f>
        <v>0</v>
      </c>
      <c r="G1159" s="160" t="e">
        <f>IF(A1159&lt;&gt;"",IF(AND(#REF!="Padrão",$H$4=#REF!),BDI!$B$17,IF(AND(#REF!="Padrão",$H$4=#REF!),BDI!$C$17,IF(AND(#REF!="Diferenciado",$H$4=#REF!),BDI!$G$17,IF(AND(#REF!="Diferenciado",$H$4=#REF!),BDI!$H$17,IF(#REF!="ZERO",0))))),"")</f>
        <v>#REF!</v>
      </c>
      <c r="H1159" s="161" t="e">
        <f t="shared" ref="H1159:H1222" ca="1" si="55">IF(ISNUMBER(E1159),ROUND(E1159*(1+G1159),2),"")</f>
        <v>#REF!</v>
      </c>
      <c r="I1159" s="159" t="e">
        <f t="shared" ref="I1159:I1222" ca="1" si="56">IF(ISNUMBER(E1159),ROUND(H1159*D1159,2),"")</f>
        <v>#REF!</v>
      </c>
    </row>
    <row r="1160" spans="1:9" hidden="1" x14ac:dyDescent="0.25">
      <c r="A1160" s="102" t="s">
        <v>2502</v>
      </c>
      <c r="B1160" s="103" t="s">
        <v>4434</v>
      </c>
      <c r="C1160" s="104" t="s">
        <v>189</v>
      </c>
      <c r="D1160" s="104">
        <v>0</v>
      </c>
      <c r="E1160" s="158">
        <f ca="1">OFFSET(INDEX(Composições!A:J,MATCH(Orçamentária!A1160,Composições!A:A,0),10),2,0)</f>
        <v>7.3995499999999996</v>
      </c>
      <c r="F1160" s="159">
        <f t="shared" ca="1" si="54"/>
        <v>0</v>
      </c>
      <c r="G1160" s="160" t="e">
        <f>IF(A1160&lt;&gt;"",IF(AND(#REF!="Padrão",$H$4=#REF!),BDI!$B$17,IF(AND(#REF!="Padrão",$H$4=#REF!),BDI!$C$17,IF(AND(#REF!="Diferenciado",$H$4=#REF!),BDI!$G$17,IF(AND(#REF!="Diferenciado",$H$4=#REF!),BDI!$H$17,IF(#REF!="ZERO",0))))),"")</f>
        <v>#REF!</v>
      </c>
      <c r="H1160" s="161" t="e">
        <f t="shared" ca="1" si="55"/>
        <v>#REF!</v>
      </c>
      <c r="I1160" s="159" t="e">
        <f t="shared" ca="1" si="56"/>
        <v>#REF!</v>
      </c>
    </row>
    <row r="1161" spans="1:9" hidden="1" x14ac:dyDescent="0.25">
      <c r="A1161" s="102" t="s">
        <v>2505</v>
      </c>
      <c r="B1161" s="103" t="s">
        <v>4435</v>
      </c>
      <c r="C1161" s="104" t="s">
        <v>189</v>
      </c>
      <c r="D1161" s="104">
        <v>0</v>
      </c>
      <c r="E1161" s="158">
        <f ca="1">OFFSET(INDEX(Composições!A:J,MATCH(Orçamentária!A1161,Composições!A:A,0),10),2,0)</f>
        <v>20.000385917599996</v>
      </c>
      <c r="F1161" s="159">
        <f t="shared" ca="1" si="54"/>
        <v>0</v>
      </c>
      <c r="G1161" s="160" t="e">
        <f>IF(A1161&lt;&gt;"",IF(AND(#REF!="Padrão",$H$4=#REF!),BDI!$B$17,IF(AND(#REF!="Padrão",$H$4=#REF!),BDI!$C$17,IF(AND(#REF!="Diferenciado",$H$4=#REF!),BDI!$G$17,IF(AND(#REF!="Diferenciado",$H$4=#REF!),BDI!$H$17,IF(#REF!="ZERO",0))))),"")</f>
        <v>#REF!</v>
      </c>
      <c r="H1161" s="161" t="e">
        <f t="shared" ca="1" si="55"/>
        <v>#REF!</v>
      </c>
      <c r="I1161" s="159" t="e">
        <f t="shared" ca="1" si="56"/>
        <v>#REF!</v>
      </c>
    </row>
    <row r="1162" spans="1:9" hidden="1" x14ac:dyDescent="0.25">
      <c r="A1162" s="102" t="s">
        <v>2507</v>
      </c>
      <c r="B1162" s="103" t="s">
        <v>4436</v>
      </c>
      <c r="C1162" s="104" t="s">
        <v>189</v>
      </c>
      <c r="D1162" s="104">
        <v>0</v>
      </c>
      <c r="E1162" s="158">
        <f ca="1">OFFSET(INDEX(Composições!A:J,MATCH(Orçamentária!A1162,Composições!A:A,0),10),2,0)</f>
        <v>60.252494574999986</v>
      </c>
      <c r="F1162" s="159">
        <f t="shared" ca="1" si="54"/>
        <v>0</v>
      </c>
      <c r="G1162" s="160" t="e">
        <f>IF(A1162&lt;&gt;"",IF(AND(#REF!="Padrão",$H$4=#REF!),BDI!$B$17,IF(AND(#REF!="Padrão",$H$4=#REF!),BDI!$C$17,IF(AND(#REF!="Diferenciado",$H$4=#REF!),BDI!$G$17,IF(AND(#REF!="Diferenciado",$H$4=#REF!),BDI!$H$17,IF(#REF!="ZERO",0))))),"")</f>
        <v>#REF!</v>
      </c>
      <c r="H1162" s="161" t="e">
        <f t="shared" ca="1" si="55"/>
        <v>#REF!</v>
      </c>
      <c r="I1162" s="159" t="e">
        <f t="shared" ca="1" si="56"/>
        <v>#REF!</v>
      </c>
    </row>
    <row r="1163" spans="1:9" hidden="1" x14ac:dyDescent="0.25">
      <c r="A1163" s="102" t="s">
        <v>2510</v>
      </c>
      <c r="B1163" s="103" t="s">
        <v>4437</v>
      </c>
      <c r="C1163" s="104" t="s">
        <v>189</v>
      </c>
      <c r="D1163" s="104">
        <v>0</v>
      </c>
      <c r="E1163" s="158">
        <f ca="1">OFFSET(INDEX(Composições!A:J,MATCH(Orçamentária!A1163,Composições!A:A,0),10),2,0)</f>
        <v>10.3569</v>
      </c>
      <c r="F1163" s="159">
        <f t="shared" ca="1" si="54"/>
        <v>0</v>
      </c>
      <c r="G1163" s="160" t="e">
        <f>IF(A1163&lt;&gt;"",IF(AND(#REF!="Padrão",$H$4=#REF!),BDI!$B$17,IF(AND(#REF!="Padrão",$H$4=#REF!),BDI!$C$17,IF(AND(#REF!="Diferenciado",$H$4=#REF!),BDI!$G$17,IF(AND(#REF!="Diferenciado",$H$4=#REF!),BDI!$H$17,IF(#REF!="ZERO",0))))),"")</f>
        <v>#REF!</v>
      </c>
      <c r="H1163" s="161" t="e">
        <f t="shared" ca="1" si="55"/>
        <v>#REF!</v>
      </c>
      <c r="I1163" s="159" t="e">
        <f t="shared" ca="1" si="56"/>
        <v>#REF!</v>
      </c>
    </row>
    <row r="1164" spans="1:9" hidden="1" x14ac:dyDescent="0.25">
      <c r="A1164" s="102" t="s">
        <v>2514</v>
      </c>
      <c r="B1164" s="103" t="s">
        <v>4438</v>
      </c>
      <c r="C1164" s="104" t="s">
        <v>189</v>
      </c>
      <c r="D1164" s="104">
        <v>0</v>
      </c>
      <c r="E1164" s="158">
        <f ca="1">OFFSET(INDEX(Composições!A:J,MATCH(Orçamentária!A1164,Composições!A:A,0),10),2,0)</f>
        <v>6.0340200000000008</v>
      </c>
      <c r="F1164" s="159">
        <f t="shared" ca="1" si="54"/>
        <v>0</v>
      </c>
      <c r="G1164" s="160" t="e">
        <f>IF(A1164&lt;&gt;"",IF(AND(#REF!="Padrão",$H$4=#REF!),BDI!$B$17,IF(AND(#REF!="Padrão",$H$4=#REF!),BDI!$C$17,IF(AND(#REF!="Diferenciado",$H$4=#REF!),BDI!$G$17,IF(AND(#REF!="Diferenciado",$H$4=#REF!),BDI!$H$17,IF(#REF!="ZERO",0))))),"")</f>
        <v>#REF!</v>
      </c>
      <c r="H1164" s="161" t="e">
        <f t="shared" ca="1" si="55"/>
        <v>#REF!</v>
      </c>
      <c r="I1164" s="159" t="e">
        <f t="shared" ca="1" si="56"/>
        <v>#REF!</v>
      </c>
    </row>
    <row r="1165" spans="1:9" hidden="1" x14ac:dyDescent="0.25">
      <c r="A1165" s="102" t="s">
        <v>2516</v>
      </c>
      <c r="B1165" s="103" t="s">
        <v>4439</v>
      </c>
      <c r="C1165" s="104" t="s">
        <v>189</v>
      </c>
      <c r="D1165" s="104">
        <v>0</v>
      </c>
      <c r="E1165" s="158">
        <f ca="1">OFFSET(INDEX(Composições!A:J,MATCH(Orçamentária!A1165,Composições!A:A,0),10),2,0)</f>
        <v>94.656385</v>
      </c>
      <c r="F1165" s="159">
        <f t="shared" ca="1" si="54"/>
        <v>0</v>
      </c>
      <c r="G1165" s="160" t="e">
        <f>IF(A1165&lt;&gt;"",IF(AND(#REF!="Padrão",$H$4=#REF!),BDI!$B$17,IF(AND(#REF!="Padrão",$H$4=#REF!),BDI!$C$17,IF(AND(#REF!="Diferenciado",$H$4=#REF!),BDI!$G$17,IF(AND(#REF!="Diferenciado",$H$4=#REF!),BDI!$H$17,IF(#REF!="ZERO",0))))),"")</f>
        <v>#REF!</v>
      </c>
      <c r="H1165" s="161" t="e">
        <f t="shared" ca="1" si="55"/>
        <v>#REF!</v>
      </c>
      <c r="I1165" s="159" t="e">
        <f t="shared" ca="1" si="56"/>
        <v>#REF!</v>
      </c>
    </row>
    <row r="1166" spans="1:9" hidden="1" x14ac:dyDescent="0.25">
      <c r="A1166" s="102" t="s">
        <v>2525</v>
      </c>
      <c r="B1166" s="103" t="s">
        <v>4440</v>
      </c>
      <c r="C1166" s="104" t="s">
        <v>189</v>
      </c>
      <c r="D1166" s="104">
        <v>0</v>
      </c>
      <c r="E1166" s="158">
        <f ca="1">OFFSET(INDEX(Composições!A:J,MATCH(Orçamentária!A1166,Composições!A:A,0),10),2,0)</f>
        <v>84.926675000000017</v>
      </c>
      <c r="F1166" s="159">
        <f t="shared" ca="1" si="54"/>
        <v>0</v>
      </c>
      <c r="G1166" s="160" t="e">
        <f>IF(A1166&lt;&gt;"",IF(AND(#REF!="Padrão",$H$4=#REF!),BDI!$B$17,IF(AND(#REF!="Padrão",$H$4=#REF!),BDI!$C$17,IF(AND(#REF!="Diferenciado",$H$4=#REF!),BDI!$G$17,IF(AND(#REF!="Diferenciado",$H$4=#REF!),BDI!$H$17,IF(#REF!="ZERO",0))))),"")</f>
        <v>#REF!</v>
      </c>
      <c r="H1166" s="161" t="e">
        <f t="shared" ca="1" si="55"/>
        <v>#REF!</v>
      </c>
      <c r="I1166" s="159" t="e">
        <f t="shared" ca="1" si="56"/>
        <v>#REF!</v>
      </c>
    </row>
    <row r="1167" spans="1:9" hidden="1" x14ac:dyDescent="0.25">
      <c r="A1167" s="102" t="s">
        <v>4441</v>
      </c>
      <c r="B1167" s="103" t="s">
        <v>4442</v>
      </c>
      <c r="C1167" s="104" t="s">
        <v>75</v>
      </c>
      <c r="D1167" s="104">
        <v>0</v>
      </c>
      <c r="E1167" s="158" t="s">
        <v>1079</v>
      </c>
      <c r="F1167" s="159" t="str">
        <f t="shared" si="54"/>
        <v/>
      </c>
      <c r="G1167" s="160" t="e">
        <f>IF(A1167&lt;&gt;"",IF(AND(#REF!="Padrão",$H$4=#REF!),BDI!$B$17,IF(AND(#REF!="Padrão",$H$4=#REF!),BDI!$C$17,IF(AND(#REF!="Diferenciado",$H$4=#REF!),BDI!$G$17,IF(AND(#REF!="Diferenciado",$H$4=#REF!),BDI!$H$17,IF(#REF!="ZERO",0))))),"")</f>
        <v>#REF!</v>
      </c>
      <c r="H1167" s="161" t="str">
        <f t="shared" si="55"/>
        <v/>
      </c>
      <c r="I1167" s="159" t="str">
        <f t="shared" si="56"/>
        <v/>
      </c>
    </row>
    <row r="1168" spans="1:9" hidden="1" x14ac:dyDescent="0.25">
      <c r="A1168" s="102" t="s">
        <v>2530</v>
      </c>
      <c r="B1168" s="103" t="s">
        <v>4443</v>
      </c>
      <c r="C1168" s="104" t="s">
        <v>184</v>
      </c>
      <c r="D1168" s="104">
        <v>0</v>
      </c>
      <c r="E1168" s="158">
        <f ca="1">OFFSET(INDEX(Composições!A:J,MATCH(Orçamentária!A1168,Composições!A:A,0),10),2,0)</f>
        <v>78.095604050000006</v>
      </c>
      <c r="F1168" s="159">
        <f t="shared" ca="1" si="54"/>
        <v>0</v>
      </c>
      <c r="G1168" s="160" t="e">
        <f>IF(A1168&lt;&gt;"",IF(AND(#REF!="Padrão",$H$4=#REF!),BDI!$B$17,IF(AND(#REF!="Padrão",$H$4=#REF!),BDI!$C$17,IF(AND(#REF!="Diferenciado",$H$4=#REF!),BDI!$G$17,IF(AND(#REF!="Diferenciado",$H$4=#REF!),BDI!$H$17,IF(#REF!="ZERO",0))))),"")</f>
        <v>#REF!</v>
      </c>
      <c r="H1168" s="161" t="e">
        <f t="shared" ca="1" si="55"/>
        <v>#REF!</v>
      </c>
      <c r="I1168" s="159" t="e">
        <f t="shared" ca="1" si="56"/>
        <v>#REF!</v>
      </c>
    </row>
    <row r="1169" spans="1:9" hidden="1" x14ac:dyDescent="0.25">
      <c r="A1169" s="102" t="s">
        <v>2541</v>
      </c>
      <c r="B1169" s="103" t="s">
        <v>4444</v>
      </c>
      <c r="C1169" s="104" t="s">
        <v>189</v>
      </c>
      <c r="D1169" s="104">
        <v>0</v>
      </c>
      <c r="E1169" s="158">
        <f ca="1">OFFSET(INDEX(Composições!A:J,MATCH(Orçamentária!A1169,Composições!A:A,0),10),2,0)</f>
        <v>11.0781343</v>
      </c>
      <c r="F1169" s="159">
        <f t="shared" ca="1" si="54"/>
        <v>0</v>
      </c>
      <c r="G1169" s="160" t="e">
        <f>IF(A1169&lt;&gt;"",IF(AND(#REF!="Padrão",$H$4=#REF!),BDI!$B$17,IF(AND(#REF!="Padrão",$H$4=#REF!),BDI!$C$17,IF(AND(#REF!="Diferenciado",$H$4=#REF!),BDI!$G$17,IF(AND(#REF!="Diferenciado",$H$4=#REF!),BDI!$H$17,IF(#REF!="ZERO",0))))),"")</f>
        <v>#REF!</v>
      </c>
      <c r="H1169" s="161" t="e">
        <f t="shared" ca="1" si="55"/>
        <v>#REF!</v>
      </c>
      <c r="I1169" s="159" t="e">
        <f t="shared" ca="1" si="56"/>
        <v>#REF!</v>
      </c>
    </row>
    <row r="1170" spans="1:9" hidden="1" x14ac:dyDescent="0.25">
      <c r="A1170" s="102" t="s">
        <v>2546</v>
      </c>
      <c r="B1170" s="103" t="s">
        <v>4445</v>
      </c>
      <c r="C1170" s="104" t="s">
        <v>189</v>
      </c>
      <c r="D1170" s="104">
        <v>0</v>
      </c>
      <c r="E1170" s="158">
        <f ca="1">OFFSET(INDEX(Composições!A:J,MATCH(Orçamentária!A1170,Composições!A:A,0),10),2,0)</f>
        <v>26.703614599999998</v>
      </c>
      <c r="F1170" s="159">
        <f t="shared" ca="1" si="54"/>
        <v>0</v>
      </c>
      <c r="G1170" s="160" t="e">
        <f>IF(A1170&lt;&gt;"",IF(AND(#REF!="Padrão",$H$4=#REF!),BDI!$B$17,IF(AND(#REF!="Padrão",$H$4=#REF!),BDI!$C$17,IF(AND(#REF!="Diferenciado",$H$4=#REF!),BDI!$G$17,IF(AND(#REF!="Diferenciado",$H$4=#REF!),BDI!$H$17,IF(#REF!="ZERO",0))))),"")</f>
        <v>#REF!</v>
      </c>
      <c r="H1170" s="161" t="e">
        <f t="shared" ca="1" si="55"/>
        <v>#REF!</v>
      </c>
      <c r="I1170" s="159" t="e">
        <f t="shared" ca="1" si="56"/>
        <v>#REF!</v>
      </c>
    </row>
    <row r="1171" spans="1:9" hidden="1" x14ac:dyDescent="0.25">
      <c r="A1171" s="102" t="s">
        <v>2552</v>
      </c>
      <c r="B1171" s="103" t="s">
        <v>4446</v>
      </c>
      <c r="C1171" s="104" t="s">
        <v>189</v>
      </c>
      <c r="D1171" s="104">
        <v>0</v>
      </c>
      <c r="E1171" s="158">
        <f ca="1">OFFSET(INDEX(Composições!A:J,MATCH(Orçamentária!A1171,Composições!A:A,0),10),2,0)</f>
        <v>5.6800499999999996</v>
      </c>
      <c r="F1171" s="159">
        <f t="shared" ca="1" si="54"/>
        <v>0</v>
      </c>
      <c r="G1171" s="160" t="e">
        <f>IF(A1171&lt;&gt;"",IF(AND(#REF!="Padrão",$H$4=#REF!),BDI!$B$17,IF(AND(#REF!="Padrão",$H$4=#REF!),BDI!$C$17,IF(AND(#REF!="Diferenciado",$H$4=#REF!),BDI!$G$17,IF(AND(#REF!="Diferenciado",$H$4=#REF!),BDI!$H$17,IF(#REF!="ZERO",0))))),"")</f>
        <v>#REF!</v>
      </c>
      <c r="H1171" s="161" t="e">
        <f t="shared" ca="1" si="55"/>
        <v>#REF!</v>
      </c>
      <c r="I1171" s="159" t="e">
        <f t="shared" ca="1" si="56"/>
        <v>#REF!</v>
      </c>
    </row>
    <row r="1172" spans="1:9" hidden="1" x14ac:dyDescent="0.25">
      <c r="A1172" s="102" t="s">
        <v>2557</v>
      </c>
      <c r="B1172" s="103" t="s">
        <v>4447</v>
      </c>
      <c r="C1172" s="104" t="s">
        <v>189</v>
      </c>
      <c r="D1172" s="104">
        <v>0</v>
      </c>
      <c r="E1172" s="158">
        <f ca="1">OFFSET(INDEX(Composições!A:J,MATCH(Orçamentária!A1172,Composições!A:A,0),10),2,0)</f>
        <v>5.6800499999999996</v>
      </c>
      <c r="F1172" s="159">
        <f t="shared" ca="1" si="54"/>
        <v>0</v>
      </c>
      <c r="G1172" s="160" t="e">
        <f>IF(A1172&lt;&gt;"",IF(AND(#REF!="Padrão",$H$4=#REF!),BDI!$B$17,IF(AND(#REF!="Padrão",$H$4=#REF!),BDI!$C$17,IF(AND(#REF!="Diferenciado",$H$4=#REF!),BDI!$G$17,IF(AND(#REF!="Diferenciado",$H$4=#REF!),BDI!$H$17,IF(#REF!="ZERO",0))))),"")</f>
        <v>#REF!</v>
      </c>
      <c r="H1172" s="161" t="e">
        <f t="shared" ca="1" si="55"/>
        <v>#REF!</v>
      </c>
      <c r="I1172" s="159" t="e">
        <f t="shared" ca="1" si="56"/>
        <v>#REF!</v>
      </c>
    </row>
    <row r="1173" spans="1:9" hidden="1" x14ac:dyDescent="0.25">
      <c r="A1173" s="102" t="s">
        <v>2561</v>
      </c>
      <c r="B1173" s="103" t="s">
        <v>4448</v>
      </c>
      <c r="C1173" s="104" t="s">
        <v>228</v>
      </c>
      <c r="D1173" s="104">
        <v>0</v>
      </c>
      <c r="E1173" s="158">
        <f ca="1">OFFSET(INDEX(Composições!A:J,MATCH(Orçamentária!A1173,Composições!A:A,0),10),2,0)</f>
        <v>672.4116087299999</v>
      </c>
      <c r="F1173" s="159">
        <f t="shared" ca="1" si="54"/>
        <v>0</v>
      </c>
      <c r="G1173" s="160" t="e">
        <f>IF(A1173&lt;&gt;"",IF(AND(#REF!="Padrão",$H$4=#REF!),BDI!$B$17,IF(AND(#REF!="Padrão",$H$4=#REF!),BDI!$C$17,IF(AND(#REF!="Diferenciado",$H$4=#REF!),BDI!$G$17,IF(AND(#REF!="Diferenciado",$H$4=#REF!),BDI!$H$17,IF(#REF!="ZERO",0))))),"")</f>
        <v>#REF!</v>
      </c>
      <c r="H1173" s="161" t="e">
        <f t="shared" ca="1" si="55"/>
        <v>#REF!</v>
      </c>
      <c r="I1173" s="159" t="e">
        <f t="shared" ca="1" si="56"/>
        <v>#REF!</v>
      </c>
    </row>
    <row r="1174" spans="1:9" hidden="1" x14ac:dyDescent="0.25">
      <c r="A1174" s="102" t="s">
        <v>2567</v>
      </c>
      <c r="B1174" s="103" t="s">
        <v>4449</v>
      </c>
      <c r="C1174" s="104" t="s">
        <v>189</v>
      </c>
      <c r="D1174" s="104">
        <v>0</v>
      </c>
      <c r="E1174" s="158">
        <f ca="1">OFFSET(INDEX(Composições!A:J,MATCH(Orçamentária!A1174,Composições!A:A,0),10),2,0)</f>
        <v>6.6851024999999993</v>
      </c>
      <c r="F1174" s="159">
        <f t="shared" ca="1" si="54"/>
        <v>0</v>
      </c>
      <c r="G1174" s="160" t="e">
        <f>IF(A1174&lt;&gt;"",IF(AND(#REF!="Padrão",$H$4=#REF!),BDI!$B$17,IF(AND(#REF!="Padrão",$H$4=#REF!),BDI!$C$17,IF(AND(#REF!="Diferenciado",$H$4=#REF!),BDI!$G$17,IF(AND(#REF!="Diferenciado",$H$4=#REF!),BDI!$H$17,IF(#REF!="ZERO",0))))),"")</f>
        <v>#REF!</v>
      </c>
      <c r="H1174" s="161" t="e">
        <f t="shared" ca="1" si="55"/>
        <v>#REF!</v>
      </c>
      <c r="I1174" s="159" t="e">
        <f t="shared" ca="1" si="56"/>
        <v>#REF!</v>
      </c>
    </row>
    <row r="1175" spans="1:9" hidden="1" x14ac:dyDescent="0.25">
      <c r="A1175" s="102" t="s">
        <v>2574</v>
      </c>
      <c r="B1175" s="103" t="s">
        <v>4450</v>
      </c>
      <c r="C1175" s="104" t="s">
        <v>189</v>
      </c>
      <c r="D1175" s="104">
        <v>0</v>
      </c>
      <c r="E1175" s="158">
        <f ca="1">OFFSET(INDEX(Composições!A:J,MATCH(Orçamentária!A1175,Composições!A:A,0),10),2,0)</f>
        <v>86.105454000000009</v>
      </c>
      <c r="F1175" s="159">
        <f t="shared" ca="1" si="54"/>
        <v>0</v>
      </c>
      <c r="G1175" s="160" t="e">
        <f>IF(A1175&lt;&gt;"",IF(AND(#REF!="Padrão",$H$4=#REF!),BDI!$B$17,IF(AND(#REF!="Padrão",$H$4=#REF!),BDI!$C$17,IF(AND(#REF!="Diferenciado",$H$4=#REF!),BDI!$G$17,IF(AND(#REF!="Diferenciado",$H$4=#REF!),BDI!$H$17,IF(#REF!="ZERO",0))))),"")</f>
        <v>#REF!</v>
      </c>
      <c r="H1175" s="161" t="e">
        <f t="shared" ca="1" si="55"/>
        <v>#REF!</v>
      </c>
      <c r="I1175" s="159" t="e">
        <f t="shared" ca="1" si="56"/>
        <v>#REF!</v>
      </c>
    </row>
    <row r="1176" spans="1:9" hidden="1" x14ac:dyDescent="0.25">
      <c r="A1176" s="102" t="s">
        <v>2578</v>
      </c>
      <c r="B1176" s="103" t="s">
        <v>4451</v>
      </c>
      <c r="C1176" s="104" t="s">
        <v>189</v>
      </c>
      <c r="D1176" s="104">
        <v>0</v>
      </c>
      <c r="E1176" s="158">
        <f ca="1">OFFSET(INDEX(Composições!A:J,MATCH(Orçamentária!A1176,Composições!A:A,0),10),2,0)</f>
        <v>83.073167999999981</v>
      </c>
      <c r="F1176" s="159">
        <f t="shared" ca="1" si="54"/>
        <v>0</v>
      </c>
      <c r="G1176" s="160" t="e">
        <f>IF(A1176&lt;&gt;"",IF(AND(#REF!="Padrão",$H$4=#REF!),BDI!$B$17,IF(AND(#REF!="Padrão",$H$4=#REF!),BDI!$C$17,IF(AND(#REF!="Diferenciado",$H$4=#REF!),BDI!$G$17,IF(AND(#REF!="Diferenciado",$H$4=#REF!),BDI!$H$17,IF(#REF!="ZERO",0))))),"")</f>
        <v>#REF!</v>
      </c>
      <c r="H1176" s="161" t="e">
        <f t="shared" ca="1" si="55"/>
        <v>#REF!</v>
      </c>
      <c r="I1176" s="159" t="e">
        <f t="shared" ca="1" si="56"/>
        <v>#REF!</v>
      </c>
    </row>
    <row r="1177" spans="1:9" hidden="1" x14ac:dyDescent="0.25">
      <c r="A1177" s="102" t="s">
        <v>2585</v>
      </c>
      <c r="B1177" s="103" t="s">
        <v>4452</v>
      </c>
      <c r="C1177" s="104" t="s">
        <v>189</v>
      </c>
      <c r="D1177" s="104">
        <v>0</v>
      </c>
      <c r="E1177" s="158">
        <f ca="1">OFFSET(INDEX(Composições!A:J,MATCH(Orçamentária!A1177,Composições!A:A,0),10),2,0)</f>
        <v>31.954855499999997</v>
      </c>
      <c r="F1177" s="159">
        <f t="shared" ca="1" si="54"/>
        <v>0</v>
      </c>
      <c r="G1177" s="160" t="e">
        <f>IF(A1177&lt;&gt;"",IF(AND(#REF!="Padrão",$H$4=#REF!),BDI!$B$17,IF(AND(#REF!="Padrão",$H$4=#REF!),BDI!$C$17,IF(AND(#REF!="Diferenciado",$H$4=#REF!),BDI!$G$17,IF(AND(#REF!="Diferenciado",$H$4=#REF!),BDI!$H$17,IF(#REF!="ZERO",0))))),"")</f>
        <v>#REF!</v>
      </c>
      <c r="H1177" s="161" t="e">
        <f t="shared" ca="1" si="55"/>
        <v>#REF!</v>
      </c>
      <c r="I1177" s="159" t="e">
        <f t="shared" ca="1" si="56"/>
        <v>#REF!</v>
      </c>
    </row>
    <row r="1178" spans="1:9" hidden="1" x14ac:dyDescent="0.25">
      <c r="A1178" s="102" t="s">
        <v>2588</v>
      </c>
      <c r="B1178" s="103" t="s">
        <v>4453</v>
      </c>
      <c r="C1178" s="104" t="s">
        <v>189</v>
      </c>
      <c r="D1178" s="104">
        <v>0</v>
      </c>
      <c r="E1178" s="158">
        <f ca="1">OFFSET(INDEX(Composições!A:J,MATCH(Orçamentária!A1178,Composições!A:A,0),10),2,0)</f>
        <v>18.012</v>
      </c>
      <c r="F1178" s="159">
        <f t="shared" ca="1" si="54"/>
        <v>0</v>
      </c>
      <c r="G1178" s="160" t="e">
        <f>IF(A1178&lt;&gt;"",IF(AND(#REF!="Padrão",$H$4=#REF!),BDI!$B$17,IF(AND(#REF!="Padrão",$H$4=#REF!),BDI!$C$17,IF(AND(#REF!="Diferenciado",$H$4=#REF!),BDI!$G$17,IF(AND(#REF!="Diferenciado",$H$4=#REF!),BDI!$H$17,IF(#REF!="ZERO",0))))),"")</f>
        <v>#REF!</v>
      </c>
      <c r="H1178" s="161" t="e">
        <f t="shared" ca="1" si="55"/>
        <v>#REF!</v>
      </c>
      <c r="I1178" s="159" t="e">
        <f t="shared" ca="1" si="56"/>
        <v>#REF!</v>
      </c>
    </row>
    <row r="1179" spans="1:9" hidden="1" x14ac:dyDescent="0.25">
      <c r="A1179" s="102" t="s">
        <v>2597</v>
      </c>
      <c r="B1179" s="103" t="s">
        <v>4454</v>
      </c>
      <c r="C1179" s="104" t="s">
        <v>189</v>
      </c>
      <c r="D1179" s="104">
        <v>0</v>
      </c>
      <c r="E1179" s="158">
        <f ca="1">OFFSET(INDEX(Composições!A:J,MATCH(Orçamentária!A1179,Composições!A:A,0),10),2,0)</f>
        <v>30.549900499999996</v>
      </c>
      <c r="F1179" s="159">
        <f t="shared" ca="1" si="54"/>
        <v>0</v>
      </c>
      <c r="G1179" s="160" t="e">
        <f>IF(A1179&lt;&gt;"",IF(AND(#REF!="Padrão",$H$4=#REF!),BDI!$B$17,IF(AND(#REF!="Padrão",$H$4=#REF!),BDI!$C$17,IF(AND(#REF!="Diferenciado",$H$4=#REF!),BDI!$G$17,IF(AND(#REF!="Diferenciado",$H$4=#REF!),BDI!$H$17,IF(#REF!="ZERO",0))))),"")</f>
        <v>#REF!</v>
      </c>
      <c r="H1179" s="161" t="e">
        <f t="shared" ca="1" si="55"/>
        <v>#REF!</v>
      </c>
      <c r="I1179" s="159" t="e">
        <f t="shared" ca="1" si="56"/>
        <v>#REF!</v>
      </c>
    </row>
    <row r="1180" spans="1:9" hidden="1" x14ac:dyDescent="0.25">
      <c r="A1180" s="102" t="s">
        <v>2601</v>
      </c>
      <c r="B1180" s="103" t="s">
        <v>4455</v>
      </c>
      <c r="C1180" s="104" t="s">
        <v>189</v>
      </c>
      <c r="D1180" s="104">
        <v>0</v>
      </c>
      <c r="E1180" s="158">
        <f ca="1">OFFSET(INDEX(Composições!A:J,MATCH(Orçamentária!A1180,Composições!A:A,0),10),2,0)</f>
        <v>3.8285</v>
      </c>
      <c r="F1180" s="159">
        <f t="shared" ca="1" si="54"/>
        <v>0</v>
      </c>
      <c r="G1180" s="160" t="e">
        <f>IF(A1180&lt;&gt;"",IF(AND(#REF!="Padrão",$H$4=#REF!),BDI!$B$17,IF(AND(#REF!="Padrão",$H$4=#REF!),BDI!$C$17,IF(AND(#REF!="Diferenciado",$H$4=#REF!),BDI!$G$17,IF(AND(#REF!="Diferenciado",$H$4=#REF!),BDI!$H$17,IF(#REF!="ZERO",0))))),"")</f>
        <v>#REF!</v>
      </c>
      <c r="H1180" s="161" t="e">
        <f t="shared" ca="1" si="55"/>
        <v>#REF!</v>
      </c>
      <c r="I1180" s="159" t="e">
        <f t="shared" ca="1" si="56"/>
        <v>#REF!</v>
      </c>
    </row>
    <row r="1181" spans="1:9" hidden="1" x14ac:dyDescent="0.25">
      <c r="A1181" s="102" t="s">
        <v>2605</v>
      </c>
      <c r="B1181" s="103" t="s">
        <v>4456</v>
      </c>
      <c r="C1181" s="104" t="s">
        <v>189</v>
      </c>
      <c r="D1181" s="104">
        <v>0</v>
      </c>
      <c r="E1181" s="158">
        <f ca="1">OFFSET(INDEX(Composições!A:J,MATCH(Orçamentária!A1181,Composições!A:A,0),10),2,0)</f>
        <v>135.66784699999999</v>
      </c>
      <c r="F1181" s="159">
        <f t="shared" ca="1" si="54"/>
        <v>0</v>
      </c>
      <c r="G1181" s="160" t="e">
        <f>IF(A1181&lt;&gt;"",IF(AND(#REF!="Padrão",$H$4=#REF!),BDI!$B$17,IF(AND(#REF!="Padrão",$H$4=#REF!),BDI!$C$17,IF(AND(#REF!="Diferenciado",$H$4=#REF!),BDI!$G$17,IF(AND(#REF!="Diferenciado",$H$4=#REF!),BDI!$H$17,IF(#REF!="ZERO",0))))),"")</f>
        <v>#REF!</v>
      </c>
      <c r="H1181" s="161" t="e">
        <f t="shared" ca="1" si="55"/>
        <v>#REF!</v>
      </c>
      <c r="I1181" s="159" t="e">
        <f t="shared" ca="1" si="56"/>
        <v>#REF!</v>
      </c>
    </row>
    <row r="1182" spans="1:9" hidden="1" x14ac:dyDescent="0.25">
      <c r="A1182" s="102" t="s">
        <v>2609</v>
      </c>
      <c r="B1182" s="103" t="s">
        <v>4457</v>
      </c>
      <c r="C1182" s="104" t="s">
        <v>189</v>
      </c>
      <c r="D1182" s="104">
        <v>0</v>
      </c>
      <c r="E1182" s="158">
        <f ca="1">OFFSET(INDEX(Composições!A:J,MATCH(Orçamentária!A1182,Composições!A:A,0),10),2,0)</f>
        <v>137.678484</v>
      </c>
      <c r="F1182" s="159">
        <f t="shared" ca="1" si="54"/>
        <v>0</v>
      </c>
      <c r="G1182" s="160" t="e">
        <f>IF(A1182&lt;&gt;"",IF(AND(#REF!="Padrão",$H$4=#REF!),BDI!$B$17,IF(AND(#REF!="Padrão",$H$4=#REF!),BDI!$C$17,IF(AND(#REF!="Diferenciado",$H$4=#REF!),BDI!$G$17,IF(AND(#REF!="Diferenciado",$H$4=#REF!),BDI!$H$17,IF(#REF!="ZERO",0))))),"")</f>
        <v>#REF!</v>
      </c>
      <c r="H1182" s="161" t="e">
        <f t="shared" ca="1" si="55"/>
        <v>#REF!</v>
      </c>
      <c r="I1182" s="159" t="e">
        <f t="shared" ca="1" si="56"/>
        <v>#REF!</v>
      </c>
    </row>
    <row r="1183" spans="1:9" hidden="1" x14ac:dyDescent="0.25">
      <c r="A1183" s="102" t="s">
        <v>4458</v>
      </c>
      <c r="B1183" s="103" t="s">
        <v>4459</v>
      </c>
      <c r="C1183" s="104" t="s">
        <v>75</v>
      </c>
      <c r="D1183" s="104">
        <v>0</v>
      </c>
      <c r="E1183" s="158" t="s">
        <v>1079</v>
      </c>
      <c r="F1183" s="159" t="str">
        <f t="shared" si="54"/>
        <v/>
      </c>
      <c r="G1183" s="160" t="e">
        <f>IF(A1183&lt;&gt;"",IF(AND(#REF!="Padrão",$H$4=#REF!),BDI!$B$17,IF(AND(#REF!="Padrão",$H$4=#REF!),BDI!$C$17,IF(AND(#REF!="Diferenciado",$H$4=#REF!),BDI!$G$17,IF(AND(#REF!="Diferenciado",$H$4=#REF!),BDI!$H$17,IF(#REF!="ZERO",0))))),"")</f>
        <v>#REF!</v>
      </c>
      <c r="H1183" s="161" t="str">
        <f t="shared" si="55"/>
        <v/>
      </c>
      <c r="I1183" s="159" t="str">
        <f t="shared" si="56"/>
        <v/>
      </c>
    </row>
    <row r="1184" spans="1:9" hidden="1" x14ac:dyDescent="0.25">
      <c r="A1184" s="102" t="s">
        <v>2611</v>
      </c>
      <c r="B1184" s="103" t="s">
        <v>4460</v>
      </c>
      <c r="C1184" s="104" t="s">
        <v>75</v>
      </c>
      <c r="D1184" s="104">
        <v>0</v>
      </c>
      <c r="E1184" s="158">
        <f ca="1">OFFSET(INDEX(Composições!A:J,MATCH(Orçamentária!A1184,Composições!A:A,0),10),2,0)</f>
        <v>4.5384349999999998</v>
      </c>
      <c r="F1184" s="159">
        <f t="shared" ca="1" si="54"/>
        <v>0</v>
      </c>
      <c r="G1184" s="160" t="e">
        <f>IF(A1184&lt;&gt;"",IF(AND(#REF!="Padrão",$H$4=#REF!),BDI!$B$17,IF(AND(#REF!="Padrão",$H$4=#REF!),BDI!$C$17,IF(AND(#REF!="Diferenciado",$H$4=#REF!),BDI!$G$17,IF(AND(#REF!="Diferenciado",$H$4=#REF!),BDI!$H$17,IF(#REF!="ZERO",0))))),"")</f>
        <v>#REF!</v>
      </c>
      <c r="H1184" s="161" t="e">
        <f t="shared" ca="1" si="55"/>
        <v>#REF!</v>
      </c>
      <c r="I1184" s="159" t="e">
        <f t="shared" ca="1" si="56"/>
        <v>#REF!</v>
      </c>
    </row>
    <row r="1185" spans="1:9" hidden="1" x14ac:dyDescent="0.25">
      <c r="A1185" s="102" t="s">
        <v>2615</v>
      </c>
      <c r="B1185" s="103" t="s">
        <v>4461</v>
      </c>
      <c r="C1185" s="104" t="s">
        <v>228</v>
      </c>
      <c r="D1185" s="104">
        <v>0</v>
      </c>
      <c r="E1185" s="158">
        <f ca="1">OFFSET(INDEX(Composições!A:J,MATCH(Orçamentária!A1185,Composições!A:A,0),10),2,0)</f>
        <v>83.516684999999981</v>
      </c>
      <c r="F1185" s="159">
        <f t="shared" ca="1" si="54"/>
        <v>0</v>
      </c>
      <c r="G1185" s="160" t="e">
        <f>IF(A1185&lt;&gt;"",IF(AND(#REF!="Padrão",$H$4=#REF!),BDI!$B$17,IF(AND(#REF!="Padrão",$H$4=#REF!),BDI!$C$17,IF(AND(#REF!="Diferenciado",$H$4=#REF!),BDI!$G$17,IF(AND(#REF!="Diferenciado",$H$4=#REF!),BDI!$H$17,IF(#REF!="ZERO",0))))),"")</f>
        <v>#REF!</v>
      </c>
      <c r="H1185" s="161" t="e">
        <f t="shared" ca="1" si="55"/>
        <v>#REF!</v>
      </c>
      <c r="I1185" s="159" t="e">
        <f t="shared" ca="1" si="56"/>
        <v>#REF!</v>
      </c>
    </row>
    <row r="1186" spans="1:9" hidden="1" x14ac:dyDescent="0.25">
      <c r="A1186" s="102" t="s">
        <v>4462</v>
      </c>
      <c r="B1186" s="103" t="s">
        <v>4463</v>
      </c>
      <c r="C1186" s="104" t="s">
        <v>32</v>
      </c>
      <c r="D1186" s="104">
        <v>0</v>
      </c>
      <c r="E1186" s="158" t="s">
        <v>1079</v>
      </c>
      <c r="F1186" s="159" t="str">
        <f t="shared" si="54"/>
        <v/>
      </c>
      <c r="G1186" s="160" t="e">
        <f>IF(A1186&lt;&gt;"",IF(AND(#REF!="Padrão",$H$4=#REF!),BDI!$B$17,IF(AND(#REF!="Padrão",$H$4=#REF!),BDI!$C$17,IF(AND(#REF!="Diferenciado",$H$4=#REF!),BDI!$G$17,IF(AND(#REF!="Diferenciado",$H$4=#REF!),BDI!$H$17,IF(#REF!="ZERO",0))))),"")</f>
        <v>#REF!</v>
      </c>
      <c r="H1186" s="161" t="str">
        <f t="shared" si="55"/>
        <v/>
      </c>
      <c r="I1186" s="159" t="str">
        <f t="shared" si="56"/>
        <v/>
      </c>
    </row>
    <row r="1187" spans="1:9" hidden="1" x14ac:dyDescent="0.25">
      <c r="A1187" s="102" t="s">
        <v>4464</v>
      </c>
      <c r="B1187" s="103" t="s">
        <v>4465</v>
      </c>
      <c r="C1187" s="104" t="s">
        <v>32</v>
      </c>
      <c r="D1187" s="104">
        <v>0</v>
      </c>
      <c r="E1187" s="158" t="s">
        <v>1079</v>
      </c>
      <c r="F1187" s="159" t="str">
        <f t="shared" si="54"/>
        <v/>
      </c>
      <c r="G1187" s="160" t="e">
        <f>IF(A1187&lt;&gt;"",IF(AND(#REF!="Padrão",$H$4=#REF!),BDI!$B$17,IF(AND(#REF!="Padrão",$H$4=#REF!),BDI!$C$17,IF(AND(#REF!="Diferenciado",$H$4=#REF!),BDI!$G$17,IF(AND(#REF!="Diferenciado",$H$4=#REF!),BDI!$H$17,IF(#REF!="ZERO",0))))),"")</f>
        <v>#REF!</v>
      </c>
      <c r="H1187" s="161" t="str">
        <f t="shared" si="55"/>
        <v/>
      </c>
      <c r="I1187" s="159" t="str">
        <f t="shared" si="56"/>
        <v/>
      </c>
    </row>
    <row r="1188" spans="1:9" hidden="1" x14ac:dyDescent="0.25">
      <c r="A1188" s="102" t="s">
        <v>4466</v>
      </c>
      <c r="B1188" s="103" t="s">
        <v>4467</v>
      </c>
      <c r="C1188" s="104" t="s">
        <v>32</v>
      </c>
      <c r="D1188" s="104">
        <v>0</v>
      </c>
      <c r="E1188" s="158" t="s">
        <v>1079</v>
      </c>
      <c r="F1188" s="159" t="str">
        <f t="shared" si="54"/>
        <v/>
      </c>
      <c r="G1188" s="160" t="e">
        <f>IF(A1188&lt;&gt;"",IF(AND(#REF!="Padrão",$H$4=#REF!),BDI!$B$17,IF(AND(#REF!="Padrão",$H$4=#REF!),BDI!$C$17,IF(AND(#REF!="Diferenciado",$H$4=#REF!),BDI!$G$17,IF(AND(#REF!="Diferenciado",$H$4=#REF!),BDI!$H$17,IF(#REF!="ZERO",0))))),"")</f>
        <v>#REF!</v>
      </c>
      <c r="H1188" s="161" t="str">
        <f t="shared" si="55"/>
        <v/>
      </c>
      <c r="I1188" s="159" t="str">
        <f t="shared" si="56"/>
        <v/>
      </c>
    </row>
    <row r="1189" spans="1:9" hidden="1" x14ac:dyDescent="0.25">
      <c r="A1189" s="102" t="s">
        <v>4468</v>
      </c>
      <c r="B1189" s="103" t="s">
        <v>4469</v>
      </c>
      <c r="C1189" s="104" t="s">
        <v>184</v>
      </c>
      <c r="D1189" s="104">
        <v>0</v>
      </c>
      <c r="E1189" s="158" t="s">
        <v>1079</v>
      </c>
      <c r="F1189" s="159" t="str">
        <f t="shared" si="54"/>
        <v/>
      </c>
      <c r="G1189" s="160" t="e">
        <f>IF(A1189&lt;&gt;"",IF(AND(#REF!="Padrão",$H$4=#REF!),BDI!$B$17,IF(AND(#REF!="Padrão",$H$4=#REF!),BDI!$C$17,IF(AND(#REF!="Diferenciado",$H$4=#REF!),BDI!$G$17,IF(AND(#REF!="Diferenciado",$H$4=#REF!),BDI!$H$17,IF(#REF!="ZERO",0))))),"")</f>
        <v>#REF!</v>
      </c>
      <c r="H1189" s="161" t="str">
        <f t="shared" si="55"/>
        <v/>
      </c>
      <c r="I1189" s="159" t="str">
        <f t="shared" si="56"/>
        <v/>
      </c>
    </row>
    <row r="1190" spans="1:9" hidden="1" x14ac:dyDescent="0.25">
      <c r="A1190" s="102" t="s">
        <v>4470</v>
      </c>
      <c r="B1190" s="103" t="s">
        <v>4471</v>
      </c>
      <c r="C1190" s="104" t="s">
        <v>184</v>
      </c>
      <c r="D1190" s="104">
        <v>0</v>
      </c>
      <c r="E1190" s="158" t="s">
        <v>1079</v>
      </c>
      <c r="F1190" s="159" t="str">
        <f t="shared" si="54"/>
        <v/>
      </c>
      <c r="G1190" s="160" t="e">
        <f>IF(A1190&lt;&gt;"",IF(AND(#REF!="Padrão",$H$4=#REF!),BDI!$B$17,IF(AND(#REF!="Padrão",$H$4=#REF!),BDI!$C$17,IF(AND(#REF!="Diferenciado",$H$4=#REF!),BDI!$G$17,IF(AND(#REF!="Diferenciado",$H$4=#REF!),BDI!$H$17,IF(#REF!="ZERO",0))))),"")</f>
        <v>#REF!</v>
      </c>
      <c r="H1190" s="161" t="str">
        <f t="shared" si="55"/>
        <v/>
      </c>
      <c r="I1190" s="159" t="str">
        <f t="shared" si="56"/>
        <v/>
      </c>
    </row>
    <row r="1191" spans="1:9" hidden="1" x14ac:dyDescent="0.25">
      <c r="A1191" s="102" t="s">
        <v>4472</v>
      </c>
      <c r="B1191" s="103" t="s">
        <v>4473</v>
      </c>
      <c r="C1191" s="104" t="s">
        <v>32</v>
      </c>
      <c r="D1191" s="104">
        <v>0</v>
      </c>
      <c r="E1191" s="158" t="s">
        <v>1079</v>
      </c>
      <c r="F1191" s="159" t="str">
        <f t="shared" si="54"/>
        <v/>
      </c>
      <c r="G1191" s="160" t="e">
        <f>IF(A1191&lt;&gt;"",IF(AND(#REF!="Padrão",$H$4=#REF!),BDI!$B$17,IF(AND(#REF!="Padrão",$H$4=#REF!),BDI!$C$17,IF(AND(#REF!="Diferenciado",$H$4=#REF!),BDI!$G$17,IF(AND(#REF!="Diferenciado",$H$4=#REF!),BDI!$H$17,IF(#REF!="ZERO",0))))),"")</f>
        <v>#REF!</v>
      </c>
      <c r="H1191" s="161" t="str">
        <f t="shared" si="55"/>
        <v/>
      </c>
      <c r="I1191" s="159" t="str">
        <f t="shared" si="56"/>
        <v/>
      </c>
    </row>
    <row r="1192" spans="1:9" hidden="1" x14ac:dyDescent="0.25">
      <c r="A1192" s="102" t="s">
        <v>4474</v>
      </c>
      <c r="B1192" s="103" t="s">
        <v>4475</v>
      </c>
      <c r="C1192" s="104" t="s">
        <v>32</v>
      </c>
      <c r="D1192" s="104">
        <v>0</v>
      </c>
      <c r="E1192" s="158" t="s">
        <v>1079</v>
      </c>
      <c r="F1192" s="159" t="str">
        <f t="shared" si="54"/>
        <v/>
      </c>
      <c r="G1192" s="160" t="e">
        <f>IF(A1192&lt;&gt;"",IF(AND(#REF!="Padrão",$H$4=#REF!),BDI!$B$17,IF(AND(#REF!="Padrão",$H$4=#REF!),BDI!$C$17,IF(AND(#REF!="Diferenciado",$H$4=#REF!),BDI!$G$17,IF(AND(#REF!="Diferenciado",$H$4=#REF!),BDI!$H$17,IF(#REF!="ZERO",0))))),"")</f>
        <v>#REF!</v>
      </c>
      <c r="H1192" s="161" t="str">
        <f t="shared" si="55"/>
        <v/>
      </c>
      <c r="I1192" s="159" t="str">
        <f t="shared" si="56"/>
        <v/>
      </c>
    </row>
    <row r="1193" spans="1:9" hidden="1" x14ac:dyDescent="0.25">
      <c r="A1193" s="102" t="s">
        <v>4476</v>
      </c>
      <c r="B1193" s="103" t="s">
        <v>4477</v>
      </c>
      <c r="C1193" s="104" t="s">
        <v>32</v>
      </c>
      <c r="D1193" s="104">
        <v>0</v>
      </c>
      <c r="E1193" s="158" t="s">
        <v>1079</v>
      </c>
      <c r="F1193" s="159" t="str">
        <f t="shared" si="54"/>
        <v/>
      </c>
      <c r="G1193" s="160" t="e">
        <f>IF(A1193&lt;&gt;"",IF(AND(#REF!="Padrão",$H$4=#REF!),BDI!$B$17,IF(AND(#REF!="Padrão",$H$4=#REF!),BDI!$C$17,IF(AND(#REF!="Diferenciado",$H$4=#REF!),BDI!$G$17,IF(AND(#REF!="Diferenciado",$H$4=#REF!),BDI!$H$17,IF(#REF!="ZERO",0))))),"")</f>
        <v>#REF!</v>
      </c>
      <c r="H1193" s="161" t="str">
        <f t="shared" si="55"/>
        <v/>
      </c>
      <c r="I1193" s="159" t="str">
        <f t="shared" si="56"/>
        <v/>
      </c>
    </row>
    <row r="1194" spans="1:9" hidden="1" x14ac:dyDescent="0.25">
      <c r="A1194" s="102" t="s">
        <v>4478</v>
      </c>
      <c r="B1194" s="103" t="s">
        <v>4479</v>
      </c>
      <c r="C1194" s="104" t="s">
        <v>32</v>
      </c>
      <c r="D1194" s="104">
        <v>0</v>
      </c>
      <c r="E1194" s="158" t="s">
        <v>1079</v>
      </c>
      <c r="F1194" s="159" t="str">
        <f t="shared" si="54"/>
        <v/>
      </c>
      <c r="G1194" s="160" t="e">
        <f>IF(A1194&lt;&gt;"",IF(AND(#REF!="Padrão",$H$4=#REF!),BDI!$B$17,IF(AND(#REF!="Padrão",$H$4=#REF!),BDI!$C$17,IF(AND(#REF!="Diferenciado",$H$4=#REF!),BDI!$G$17,IF(AND(#REF!="Diferenciado",$H$4=#REF!),BDI!$H$17,IF(#REF!="ZERO",0))))),"")</f>
        <v>#REF!</v>
      </c>
      <c r="H1194" s="161" t="str">
        <f t="shared" si="55"/>
        <v/>
      </c>
      <c r="I1194" s="159" t="str">
        <f t="shared" si="56"/>
        <v/>
      </c>
    </row>
    <row r="1195" spans="1:9" hidden="1" x14ac:dyDescent="0.25">
      <c r="A1195" s="102" t="s">
        <v>4480</v>
      </c>
      <c r="B1195" s="103" t="s">
        <v>4481</v>
      </c>
      <c r="C1195" s="104" t="s">
        <v>32</v>
      </c>
      <c r="D1195" s="104">
        <v>0</v>
      </c>
      <c r="E1195" s="158" t="s">
        <v>1079</v>
      </c>
      <c r="F1195" s="159" t="str">
        <f t="shared" si="54"/>
        <v/>
      </c>
      <c r="G1195" s="160" t="e">
        <f>IF(A1195&lt;&gt;"",IF(AND(#REF!="Padrão",$H$4=#REF!),BDI!$B$17,IF(AND(#REF!="Padrão",$H$4=#REF!),BDI!$C$17,IF(AND(#REF!="Diferenciado",$H$4=#REF!),BDI!$G$17,IF(AND(#REF!="Diferenciado",$H$4=#REF!),BDI!$H$17,IF(#REF!="ZERO",0))))),"")</f>
        <v>#REF!</v>
      </c>
      <c r="H1195" s="161" t="str">
        <f t="shared" si="55"/>
        <v/>
      </c>
      <c r="I1195" s="159" t="str">
        <f t="shared" si="56"/>
        <v/>
      </c>
    </row>
    <row r="1196" spans="1:9" hidden="1" x14ac:dyDescent="0.25">
      <c r="A1196" s="102" t="s">
        <v>4482</v>
      </c>
      <c r="B1196" s="103" t="s">
        <v>4483</v>
      </c>
      <c r="C1196" s="104" t="s">
        <v>32</v>
      </c>
      <c r="D1196" s="104">
        <v>0</v>
      </c>
      <c r="E1196" s="158" t="s">
        <v>1079</v>
      </c>
      <c r="F1196" s="159" t="str">
        <f t="shared" si="54"/>
        <v/>
      </c>
      <c r="G1196" s="160" t="e">
        <f>IF(A1196&lt;&gt;"",IF(AND(#REF!="Padrão",$H$4=#REF!),BDI!$B$17,IF(AND(#REF!="Padrão",$H$4=#REF!),BDI!$C$17,IF(AND(#REF!="Diferenciado",$H$4=#REF!),BDI!$G$17,IF(AND(#REF!="Diferenciado",$H$4=#REF!),BDI!$H$17,IF(#REF!="ZERO",0))))),"")</f>
        <v>#REF!</v>
      </c>
      <c r="H1196" s="161" t="str">
        <f t="shared" si="55"/>
        <v/>
      </c>
      <c r="I1196" s="159" t="str">
        <f t="shared" si="56"/>
        <v/>
      </c>
    </row>
    <row r="1197" spans="1:9" hidden="1" x14ac:dyDescent="0.25">
      <c r="A1197" s="102" t="s">
        <v>4484</v>
      </c>
      <c r="B1197" s="103" t="s">
        <v>4485</v>
      </c>
      <c r="C1197" s="104" t="s">
        <v>32</v>
      </c>
      <c r="D1197" s="104">
        <v>0</v>
      </c>
      <c r="E1197" s="158" t="s">
        <v>1079</v>
      </c>
      <c r="F1197" s="159" t="str">
        <f t="shared" si="54"/>
        <v/>
      </c>
      <c r="G1197" s="160" t="e">
        <f>IF(A1197&lt;&gt;"",IF(AND(#REF!="Padrão",$H$4=#REF!),BDI!$B$17,IF(AND(#REF!="Padrão",$H$4=#REF!),BDI!$C$17,IF(AND(#REF!="Diferenciado",$H$4=#REF!),BDI!$G$17,IF(AND(#REF!="Diferenciado",$H$4=#REF!),BDI!$H$17,IF(#REF!="ZERO",0))))),"")</f>
        <v>#REF!</v>
      </c>
      <c r="H1197" s="161" t="str">
        <f t="shared" si="55"/>
        <v/>
      </c>
      <c r="I1197" s="159" t="str">
        <f t="shared" si="56"/>
        <v/>
      </c>
    </row>
    <row r="1198" spans="1:9" hidden="1" x14ac:dyDescent="0.25">
      <c r="A1198" s="102" t="s">
        <v>4486</v>
      </c>
      <c r="B1198" s="103" t="s">
        <v>4487</v>
      </c>
      <c r="C1198" s="104" t="s">
        <v>32</v>
      </c>
      <c r="D1198" s="104">
        <v>0</v>
      </c>
      <c r="E1198" s="158" t="s">
        <v>1079</v>
      </c>
      <c r="F1198" s="159" t="str">
        <f t="shared" si="54"/>
        <v/>
      </c>
      <c r="G1198" s="160" t="e">
        <f>IF(A1198&lt;&gt;"",IF(AND(#REF!="Padrão",$H$4=#REF!),BDI!$B$17,IF(AND(#REF!="Padrão",$H$4=#REF!),BDI!$C$17,IF(AND(#REF!="Diferenciado",$H$4=#REF!),BDI!$G$17,IF(AND(#REF!="Diferenciado",$H$4=#REF!),BDI!$H$17,IF(#REF!="ZERO",0))))),"")</f>
        <v>#REF!</v>
      </c>
      <c r="H1198" s="161" t="str">
        <f t="shared" si="55"/>
        <v/>
      </c>
      <c r="I1198" s="159" t="str">
        <f t="shared" si="56"/>
        <v/>
      </c>
    </row>
    <row r="1199" spans="1:9" hidden="1" x14ac:dyDescent="0.25">
      <c r="A1199" s="102" t="s">
        <v>4488</v>
      </c>
      <c r="B1199" s="103" t="s">
        <v>4489</v>
      </c>
      <c r="C1199" s="104" t="s">
        <v>32</v>
      </c>
      <c r="D1199" s="104">
        <v>0</v>
      </c>
      <c r="E1199" s="158" t="s">
        <v>1079</v>
      </c>
      <c r="F1199" s="159" t="str">
        <f t="shared" si="54"/>
        <v/>
      </c>
      <c r="G1199" s="160" t="e">
        <f>IF(A1199&lt;&gt;"",IF(AND(#REF!="Padrão",$H$4=#REF!),BDI!$B$17,IF(AND(#REF!="Padrão",$H$4=#REF!),BDI!$C$17,IF(AND(#REF!="Diferenciado",$H$4=#REF!),BDI!$G$17,IF(AND(#REF!="Diferenciado",$H$4=#REF!),BDI!$H$17,IF(#REF!="ZERO",0))))),"")</f>
        <v>#REF!</v>
      </c>
      <c r="H1199" s="161" t="str">
        <f t="shared" si="55"/>
        <v/>
      </c>
      <c r="I1199" s="159" t="str">
        <f t="shared" si="56"/>
        <v/>
      </c>
    </row>
    <row r="1200" spans="1:9" hidden="1" x14ac:dyDescent="0.25">
      <c r="A1200" s="102" t="s">
        <v>4490</v>
      </c>
      <c r="B1200" s="103" t="s">
        <v>4491</v>
      </c>
      <c r="C1200" s="104" t="s">
        <v>32</v>
      </c>
      <c r="D1200" s="104">
        <v>0</v>
      </c>
      <c r="E1200" s="158" t="s">
        <v>1079</v>
      </c>
      <c r="F1200" s="159" t="str">
        <f t="shared" si="54"/>
        <v/>
      </c>
      <c r="G1200" s="160" t="e">
        <f>IF(A1200&lt;&gt;"",IF(AND(#REF!="Padrão",$H$4=#REF!),BDI!$B$17,IF(AND(#REF!="Padrão",$H$4=#REF!),BDI!$C$17,IF(AND(#REF!="Diferenciado",$H$4=#REF!),BDI!$G$17,IF(AND(#REF!="Diferenciado",$H$4=#REF!),BDI!$H$17,IF(#REF!="ZERO",0))))),"")</f>
        <v>#REF!</v>
      </c>
      <c r="H1200" s="161" t="str">
        <f t="shared" si="55"/>
        <v/>
      </c>
      <c r="I1200" s="159" t="str">
        <f t="shared" si="56"/>
        <v/>
      </c>
    </row>
    <row r="1201" spans="1:9" hidden="1" x14ac:dyDescent="0.25">
      <c r="A1201" s="102" t="s">
        <v>4492</v>
      </c>
      <c r="B1201" s="103" t="s">
        <v>4493</v>
      </c>
      <c r="C1201" s="104" t="s">
        <v>32</v>
      </c>
      <c r="D1201" s="104">
        <v>0</v>
      </c>
      <c r="E1201" s="158" t="s">
        <v>1079</v>
      </c>
      <c r="F1201" s="159" t="str">
        <f t="shared" si="54"/>
        <v/>
      </c>
      <c r="G1201" s="160" t="e">
        <f>IF(A1201&lt;&gt;"",IF(AND(#REF!="Padrão",$H$4=#REF!),BDI!$B$17,IF(AND(#REF!="Padrão",$H$4=#REF!),BDI!$C$17,IF(AND(#REF!="Diferenciado",$H$4=#REF!),BDI!$G$17,IF(AND(#REF!="Diferenciado",$H$4=#REF!),BDI!$H$17,IF(#REF!="ZERO",0))))),"")</f>
        <v>#REF!</v>
      </c>
      <c r="H1201" s="161" t="str">
        <f t="shared" si="55"/>
        <v/>
      </c>
      <c r="I1201" s="159" t="str">
        <f t="shared" si="56"/>
        <v/>
      </c>
    </row>
    <row r="1202" spans="1:9" hidden="1" x14ac:dyDescent="0.25">
      <c r="A1202" s="102" t="s">
        <v>4494</v>
      </c>
      <c r="B1202" s="103" t="s">
        <v>4495</v>
      </c>
      <c r="C1202" s="104" t="s">
        <v>32</v>
      </c>
      <c r="D1202" s="104">
        <v>0</v>
      </c>
      <c r="E1202" s="158" t="s">
        <v>1079</v>
      </c>
      <c r="F1202" s="159" t="str">
        <f t="shared" si="54"/>
        <v/>
      </c>
      <c r="G1202" s="160" t="e">
        <f>IF(A1202&lt;&gt;"",IF(AND(#REF!="Padrão",$H$4=#REF!),BDI!$B$17,IF(AND(#REF!="Padrão",$H$4=#REF!),BDI!$C$17,IF(AND(#REF!="Diferenciado",$H$4=#REF!),BDI!$G$17,IF(AND(#REF!="Diferenciado",$H$4=#REF!),BDI!$H$17,IF(#REF!="ZERO",0))))),"")</f>
        <v>#REF!</v>
      </c>
      <c r="H1202" s="161" t="str">
        <f t="shared" si="55"/>
        <v/>
      </c>
      <c r="I1202" s="159" t="str">
        <f t="shared" si="56"/>
        <v/>
      </c>
    </row>
    <row r="1203" spans="1:9" hidden="1" x14ac:dyDescent="0.25">
      <c r="A1203" s="102" t="s">
        <v>4496</v>
      </c>
      <c r="B1203" s="103" t="s">
        <v>4497</v>
      </c>
      <c r="C1203" s="104" t="s">
        <v>32</v>
      </c>
      <c r="D1203" s="104">
        <v>0</v>
      </c>
      <c r="E1203" s="158" t="s">
        <v>1079</v>
      </c>
      <c r="F1203" s="159" t="str">
        <f t="shared" si="54"/>
        <v/>
      </c>
      <c r="G1203" s="160" t="e">
        <f>IF(A1203&lt;&gt;"",IF(AND(#REF!="Padrão",$H$4=#REF!),BDI!$B$17,IF(AND(#REF!="Padrão",$H$4=#REF!),BDI!$C$17,IF(AND(#REF!="Diferenciado",$H$4=#REF!),BDI!$G$17,IF(AND(#REF!="Diferenciado",$H$4=#REF!),BDI!$H$17,IF(#REF!="ZERO",0))))),"")</f>
        <v>#REF!</v>
      </c>
      <c r="H1203" s="161" t="str">
        <f t="shared" si="55"/>
        <v/>
      </c>
      <c r="I1203" s="159" t="str">
        <f t="shared" si="56"/>
        <v/>
      </c>
    </row>
    <row r="1204" spans="1:9" hidden="1" x14ac:dyDescent="0.25">
      <c r="A1204" s="102" t="s">
        <v>4498</v>
      </c>
      <c r="B1204" s="103" t="s">
        <v>4499</v>
      </c>
      <c r="C1204" s="104" t="s">
        <v>32</v>
      </c>
      <c r="D1204" s="104">
        <v>0</v>
      </c>
      <c r="E1204" s="158" t="s">
        <v>1079</v>
      </c>
      <c r="F1204" s="159" t="str">
        <f t="shared" si="54"/>
        <v/>
      </c>
      <c r="G1204" s="160" t="e">
        <f>IF(A1204&lt;&gt;"",IF(AND(#REF!="Padrão",$H$4=#REF!),BDI!$B$17,IF(AND(#REF!="Padrão",$H$4=#REF!),BDI!$C$17,IF(AND(#REF!="Diferenciado",$H$4=#REF!),BDI!$G$17,IF(AND(#REF!="Diferenciado",$H$4=#REF!),BDI!$H$17,IF(#REF!="ZERO",0))))),"")</f>
        <v>#REF!</v>
      </c>
      <c r="H1204" s="161" t="str">
        <f t="shared" si="55"/>
        <v/>
      </c>
      <c r="I1204" s="159" t="str">
        <f t="shared" si="56"/>
        <v/>
      </c>
    </row>
    <row r="1205" spans="1:9" hidden="1" x14ac:dyDescent="0.25">
      <c r="A1205" s="102" t="s">
        <v>4500</v>
      </c>
      <c r="B1205" s="103" t="s">
        <v>4501</v>
      </c>
      <c r="C1205" s="104" t="s">
        <v>32</v>
      </c>
      <c r="D1205" s="104">
        <v>0</v>
      </c>
      <c r="E1205" s="158" t="s">
        <v>1079</v>
      </c>
      <c r="F1205" s="159" t="str">
        <f t="shared" si="54"/>
        <v/>
      </c>
      <c r="G1205" s="160" t="e">
        <f>IF(A1205&lt;&gt;"",IF(AND(#REF!="Padrão",$H$4=#REF!),BDI!$B$17,IF(AND(#REF!="Padrão",$H$4=#REF!),BDI!$C$17,IF(AND(#REF!="Diferenciado",$H$4=#REF!),BDI!$G$17,IF(AND(#REF!="Diferenciado",$H$4=#REF!),BDI!$H$17,IF(#REF!="ZERO",0))))),"")</f>
        <v>#REF!</v>
      </c>
      <c r="H1205" s="161" t="str">
        <f t="shared" si="55"/>
        <v/>
      </c>
      <c r="I1205" s="159" t="str">
        <f t="shared" si="56"/>
        <v/>
      </c>
    </row>
    <row r="1206" spans="1:9" hidden="1" x14ac:dyDescent="0.25">
      <c r="A1206" s="102" t="s">
        <v>4502</v>
      </c>
      <c r="B1206" s="103" t="s">
        <v>4503</v>
      </c>
      <c r="C1206" s="104" t="s">
        <v>32</v>
      </c>
      <c r="D1206" s="104">
        <v>0</v>
      </c>
      <c r="E1206" s="158" t="s">
        <v>1079</v>
      </c>
      <c r="F1206" s="159" t="str">
        <f t="shared" si="54"/>
        <v/>
      </c>
      <c r="G1206" s="160" t="e">
        <f>IF(A1206&lt;&gt;"",IF(AND(#REF!="Padrão",$H$4=#REF!),BDI!$B$17,IF(AND(#REF!="Padrão",$H$4=#REF!),BDI!$C$17,IF(AND(#REF!="Diferenciado",$H$4=#REF!),BDI!$G$17,IF(AND(#REF!="Diferenciado",$H$4=#REF!),BDI!$H$17,IF(#REF!="ZERO",0))))),"")</f>
        <v>#REF!</v>
      </c>
      <c r="H1206" s="161" t="str">
        <f t="shared" si="55"/>
        <v/>
      </c>
      <c r="I1206" s="159" t="str">
        <f t="shared" si="56"/>
        <v/>
      </c>
    </row>
    <row r="1207" spans="1:9" hidden="1" x14ac:dyDescent="0.25">
      <c r="A1207" s="102" t="s">
        <v>4504</v>
      </c>
      <c r="B1207" s="103" t="s">
        <v>4505</v>
      </c>
      <c r="C1207" s="104" t="s">
        <v>32</v>
      </c>
      <c r="D1207" s="104">
        <v>0</v>
      </c>
      <c r="E1207" s="158" t="s">
        <v>1079</v>
      </c>
      <c r="F1207" s="159" t="str">
        <f t="shared" si="54"/>
        <v/>
      </c>
      <c r="G1207" s="160" t="e">
        <f>IF(A1207&lt;&gt;"",IF(AND(#REF!="Padrão",$H$4=#REF!),BDI!$B$17,IF(AND(#REF!="Padrão",$H$4=#REF!),BDI!$C$17,IF(AND(#REF!="Diferenciado",$H$4=#REF!),BDI!$G$17,IF(AND(#REF!="Diferenciado",$H$4=#REF!),BDI!$H$17,IF(#REF!="ZERO",0))))),"")</f>
        <v>#REF!</v>
      </c>
      <c r="H1207" s="161" t="str">
        <f t="shared" si="55"/>
        <v/>
      </c>
      <c r="I1207" s="159" t="str">
        <f t="shared" si="56"/>
        <v/>
      </c>
    </row>
    <row r="1208" spans="1:9" hidden="1" x14ac:dyDescent="0.25">
      <c r="A1208" s="102" t="s">
        <v>4506</v>
      </c>
      <c r="B1208" s="103" t="s">
        <v>4507</v>
      </c>
      <c r="C1208" s="104" t="s">
        <v>32</v>
      </c>
      <c r="D1208" s="104">
        <v>0</v>
      </c>
      <c r="E1208" s="158" t="s">
        <v>1079</v>
      </c>
      <c r="F1208" s="159" t="str">
        <f t="shared" si="54"/>
        <v/>
      </c>
      <c r="G1208" s="160" t="e">
        <f>IF(A1208&lt;&gt;"",IF(AND(#REF!="Padrão",$H$4=#REF!),BDI!$B$17,IF(AND(#REF!="Padrão",$H$4=#REF!),BDI!$C$17,IF(AND(#REF!="Diferenciado",$H$4=#REF!),BDI!$G$17,IF(AND(#REF!="Diferenciado",$H$4=#REF!),BDI!$H$17,IF(#REF!="ZERO",0))))),"")</f>
        <v>#REF!</v>
      </c>
      <c r="H1208" s="161" t="str">
        <f t="shared" si="55"/>
        <v/>
      </c>
      <c r="I1208" s="159" t="str">
        <f t="shared" si="56"/>
        <v/>
      </c>
    </row>
    <row r="1209" spans="1:9" hidden="1" x14ac:dyDescent="0.25">
      <c r="A1209" s="102" t="s">
        <v>4508</v>
      </c>
      <c r="B1209" s="103" t="s">
        <v>4509</v>
      </c>
      <c r="C1209" s="104" t="s">
        <v>32</v>
      </c>
      <c r="D1209" s="104">
        <v>0</v>
      </c>
      <c r="E1209" s="158" t="s">
        <v>1079</v>
      </c>
      <c r="F1209" s="159" t="str">
        <f t="shared" si="54"/>
        <v/>
      </c>
      <c r="G1209" s="160" t="e">
        <f>IF(A1209&lt;&gt;"",IF(AND(#REF!="Padrão",$H$4=#REF!),BDI!$B$17,IF(AND(#REF!="Padrão",$H$4=#REF!),BDI!$C$17,IF(AND(#REF!="Diferenciado",$H$4=#REF!),BDI!$G$17,IF(AND(#REF!="Diferenciado",$H$4=#REF!),BDI!$H$17,IF(#REF!="ZERO",0))))),"")</f>
        <v>#REF!</v>
      </c>
      <c r="H1209" s="161" t="str">
        <f t="shared" si="55"/>
        <v/>
      </c>
      <c r="I1209" s="159" t="str">
        <f t="shared" si="56"/>
        <v/>
      </c>
    </row>
    <row r="1210" spans="1:9" hidden="1" x14ac:dyDescent="0.25">
      <c r="A1210" s="102" t="s">
        <v>4510</v>
      </c>
      <c r="B1210" s="103" t="s">
        <v>4511</v>
      </c>
      <c r="C1210" s="104" t="s">
        <v>3994</v>
      </c>
      <c r="D1210" s="104">
        <v>0</v>
      </c>
      <c r="E1210" s="158" t="s">
        <v>1079</v>
      </c>
      <c r="F1210" s="159" t="str">
        <f t="shared" si="54"/>
        <v/>
      </c>
      <c r="G1210" s="160" t="e">
        <f>IF(A1210&lt;&gt;"",IF(AND(#REF!="Padrão",$H$4=#REF!),BDI!$B$17,IF(AND(#REF!="Padrão",$H$4=#REF!),BDI!$C$17,IF(AND(#REF!="Diferenciado",$H$4=#REF!),BDI!$G$17,IF(AND(#REF!="Diferenciado",$H$4=#REF!),BDI!$H$17,IF(#REF!="ZERO",0))))),"")</f>
        <v>#REF!</v>
      </c>
      <c r="H1210" s="161" t="str">
        <f t="shared" si="55"/>
        <v/>
      </c>
      <c r="I1210" s="159" t="str">
        <f t="shared" si="56"/>
        <v/>
      </c>
    </row>
    <row r="1211" spans="1:9" hidden="1" x14ac:dyDescent="0.25">
      <c r="A1211" s="102" t="s">
        <v>4512</v>
      </c>
      <c r="B1211" s="103" t="s">
        <v>4513</v>
      </c>
      <c r="C1211" s="104" t="s">
        <v>32</v>
      </c>
      <c r="D1211" s="104">
        <v>0</v>
      </c>
      <c r="E1211" s="158" t="s">
        <v>1079</v>
      </c>
      <c r="F1211" s="159" t="str">
        <f t="shared" si="54"/>
        <v/>
      </c>
      <c r="G1211" s="160" t="e">
        <f>IF(A1211&lt;&gt;"",IF(AND(#REF!="Padrão",$H$4=#REF!),BDI!$B$17,IF(AND(#REF!="Padrão",$H$4=#REF!),BDI!$C$17,IF(AND(#REF!="Diferenciado",$H$4=#REF!),BDI!$G$17,IF(AND(#REF!="Diferenciado",$H$4=#REF!),BDI!$H$17,IF(#REF!="ZERO",0))))),"")</f>
        <v>#REF!</v>
      </c>
      <c r="H1211" s="161" t="str">
        <f t="shared" si="55"/>
        <v/>
      </c>
      <c r="I1211" s="159" t="str">
        <f t="shared" si="56"/>
        <v/>
      </c>
    </row>
    <row r="1212" spans="1:9" hidden="1" x14ac:dyDescent="0.25">
      <c r="A1212" s="102" t="s">
        <v>4514</v>
      </c>
      <c r="B1212" s="103" t="s">
        <v>4515</v>
      </c>
      <c r="C1212" s="104" t="s">
        <v>32</v>
      </c>
      <c r="D1212" s="104">
        <v>0</v>
      </c>
      <c r="E1212" s="158" t="s">
        <v>1079</v>
      </c>
      <c r="F1212" s="159" t="str">
        <f t="shared" si="54"/>
        <v/>
      </c>
      <c r="G1212" s="160" t="e">
        <f>IF(A1212&lt;&gt;"",IF(AND(#REF!="Padrão",$H$4=#REF!),BDI!$B$17,IF(AND(#REF!="Padrão",$H$4=#REF!),BDI!$C$17,IF(AND(#REF!="Diferenciado",$H$4=#REF!),BDI!$G$17,IF(AND(#REF!="Diferenciado",$H$4=#REF!),BDI!$H$17,IF(#REF!="ZERO",0))))),"")</f>
        <v>#REF!</v>
      </c>
      <c r="H1212" s="161" t="str">
        <f t="shared" si="55"/>
        <v/>
      </c>
      <c r="I1212" s="159" t="str">
        <f t="shared" si="56"/>
        <v/>
      </c>
    </row>
    <row r="1213" spans="1:9" hidden="1" x14ac:dyDescent="0.25">
      <c r="A1213" s="102" t="s">
        <v>4516</v>
      </c>
      <c r="B1213" s="103" t="s">
        <v>4517</v>
      </c>
      <c r="C1213" s="104" t="s">
        <v>32</v>
      </c>
      <c r="D1213" s="104">
        <v>0</v>
      </c>
      <c r="E1213" s="158" t="s">
        <v>1079</v>
      </c>
      <c r="F1213" s="159" t="str">
        <f t="shared" si="54"/>
        <v/>
      </c>
      <c r="G1213" s="160" t="e">
        <f>IF(A1213&lt;&gt;"",IF(AND(#REF!="Padrão",$H$4=#REF!),BDI!$B$17,IF(AND(#REF!="Padrão",$H$4=#REF!),BDI!$C$17,IF(AND(#REF!="Diferenciado",$H$4=#REF!),BDI!$G$17,IF(AND(#REF!="Diferenciado",$H$4=#REF!),BDI!$H$17,IF(#REF!="ZERO",0))))),"")</f>
        <v>#REF!</v>
      </c>
      <c r="H1213" s="161" t="str">
        <f t="shared" si="55"/>
        <v/>
      </c>
      <c r="I1213" s="159" t="str">
        <f t="shared" si="56"/>
        <v/>
      </c>
    </row>
    <row r="1214" spans="1:9" hidden="1" x14ac:dyDescent="0.25">
      <c r="A1214" s="102" t="s">
        <v>4518</v>
      </c>
      <c r="B1214" s="103" t="s">
        <v>4519</v>
      </c>
      <c r="C1214" s="104" t="s">
        <v>32</v>
      </c>
      <c r="D1214" s="104">
        <v>0</v>
      </c>
      <c r="E1214" s="158" t="s">
        <v>1079</v>
      </c>
      <c r="F1214" s="159" t="str">
        <f t="shared" si="54"/>
        <v/>
      </c>
      <c r="G1214" s="160" t="e">
        <f>IF(A1214&lt;&gt;"",IF(AND(#REF!="Padrão",$H$4=#REF!),BDI!$B$17,IF(AND(#REF!="Padrão",$H$4=#REF!),BDI!$C$17,IF(AND(#REF!="Diferenciado",$H$4=#REF!),BDI!$G$17,IF(AND(#REF!="Diferenciado",$H$4=#REF!),BDI!$H$17,IF(#REF!="ZERO",0))))),"")</f>
        <v>#REF!</v>
      </c>
      <c r="H1214" s="161" t="str">
        <f t="shared" si="55"/>
        <v/>
      </c>
      <c r="I1214" s="159" t="str">
        <f t="shared" si="56"/>
        <v/>
      </c>
    </row>
    <row r="1215" spans="1:9" hidden="1" x14ac:dyDescent="0.25">
      <c r="A1215" s="102" t="s">
        <v>4520</v>
      </c>
      <c r="B1215" s="103" t="s">
        <v>4521</v>
      </c>
      <c r="C1215" s="104" t="s">
        <v>32</v>
      </c>
      <c r="D1215" s="104">
        <v>0</v>
      </c>
      <c r="E1215" s="158" t="s">
        <v>1079</v>
      </c>
      <c r="F1215" s="159" t="str">
        <f t="shared" si="54"/>
        <v/>
      </c>
      <c r="G1215" s="160" t="e">
        <f>IF(A1215&lt;&gt;"",IF(AND(#REF!="Padrão",$H$4=#REF!),BDI!$B$17,IF(AND(#REF!="Padrão",$H$4=#REF!),BDI!$C$17,IF(AND(#REF!="Diferenciado",$H$4=#REF!),BDI!$G$17,IF(AND(#REF!="Diferenciado",$H$4=#REF!),BDI!$H$17,IF(#REF!="ZERO",0))))),"")</f>
        <v>#REF!</v>
      </c>
      <c r="H1215" s="161" t="str">
        <f t="shared" si="55"/>
        <v/>
      </c>
      <c r="I1215" s="159" t="str">
        <f t="shared" si="56"/>
        <v/>
      </c>
    </row>
    <row r="1216" spans="1:9" hidden="1" x14ac:dyDescent="0.25">
      <c r="A1216" s="102" t="s">
        <v>4522</v>
      </c>
      <c r="B1216" s="103" t="s">
        <v>4523</v>
      </c>
      <c r="C1216" s="104" t="s">
        <v>32</v>
      </c>
      <c r="D1216" s="104">
        <v>0</v>
      </c>
      <c r="E1216" s="158" t="s">
        <v>1079</v>
      </c>
      <c r="F1216" s="159" t="str">
        <f t="shared" si="54"/>
        <v/>
      </c>
      <c r="G1216" s="160" t="e">
        <f>IF(A1216&lt;&gt;"",IF(AND(#REF!="Padrão",$H$4=#REF!),BDI!$B$17,IF(AND(#REF!="Padrão",$H$4=#REF!),BDI!$C$17,IF(AND(#REF!="Diferenciado",$H$4=#REF!),BDI!$G$17,IF(AND(#REF!="Diferenciado",$H$4=#REF!),BDI!$H$17,IF(#REF!="ZERO",0))))),"")</f>
        <v>#REF!</v>
      </c>
      <c r="H1216" s="161" t="str">
        <f t="shared" si="55"/>
        <v/>
      </c>
      <c r="I1216" s="159" t="str">
        <f t="shared" si="56"/>
        <v/>
      </c>
    </row>
    <row r="1217" spans="1:9" hidden="1" x14ac:dyDescent="0.25">
      <c r="A1217" s="102" t="s">
        <v>4524</v>
      </c>
      <c r="B1217" s="103" t="s">
        <v>4525</v>
      </c>
      <c r="C1217" s="104" t="s">
        <v>1171</v>
      </c>
      <c r="D1217" s="104">
        <v>0</v>
      </c>
      <c r="E1217" s="158" t="s">
        <v>1079</v>
      </c>
      <c r="F1217" s="159" t="str">
        <f t="shared" si="54"/>
        <v/>
      </c>
      <c r="G1217" s="160" t="e">
        <f>IF(A1217&lt;&gt;"",IF(AND(#REF!="Padrão",$H$4=#REF!),BDI!$B$17,IF(AND(#REF!="Padrão",$H$4=#REF!),BDI!$C$17,IF(AND(#REF!="Diferenciado",$H$4=#REF!),BDI!$G$17,IF(AND(#REF!="Diferenciado",$H$4=#REF!),BDI!$H$17,IF(#REF!="ZERO",0))))),"")</f>
        <v>#REF!</v>
      </c>
      <c r="H1217" s="161" t="str">
        <f t="shared" si="55"/>
        <v/>
      </c>
      <c r="I1217" s="159" t="str">
        <f t="shared" si="56"/>
        <v/>
      </c>
    </row>
    <row r="1218" spans="1:9" hidden="1" x14ac:dyDescent="0.25">
      <c r="A1218" s="102" t="s">
        <v>4526</v>
      </c>
      <c r="B1218" s="103" t="s">
        <v>4527</v>
      </c>
      <c r="C1218" s="104" t="s">
        <v>32</v>
      </c>
      <c r="D1218" s="104">
        <v>0</v>
      </c>
      <c r="E1218" s="158" t="s">
        <v>1079</v>
      </c>
      <c r="F1218" s="159" t="str">
        <f t="shared" si="54"/>
        <v/>
      </c>
      <c r="G1218" s="160" t="e">
        <f>IF(A1218&lt;&gt;"",IF(AND(#REF!="Padrão",$H$4=#REF!),BDI!$B$17,IF(AND(#REF!="Padrão",$H$4=#REF!),BDI!$C$17,IF(AND(#REF!="Diferenciado",$H$4=#REF!),BDI!$G$17,IF(AND(#REF!="Diferenciado",$H$4=#REF!),BDI!$H$17,IF(#REF!="ZERO",0))))),"")</f>
        <v>#REF!</v>
      </c>
      <c r="H1218" s="161" t="str">
        <f t="shared" si="55"/>
        <v/>
      </c>
      <c r="I1218" s="159" t="str">
        <f t="shared" si="56"/>
        <v/>
      </c>
    </row>
    <row r="1219" spans="1:9" hidden="1" x14ac:dyDescent="0.25">
      <c r="A1219" s="102" t="s">
        <v>4528</v>
      </c>
      <c r="B1219" s="103" t="s">
        <v>4529</v>
      </c>
      <c r="C1219" s="104" t="s">
        <v>32</v>
      </c>
      <c r="D1219" s="104">
        <v>0</v>
      </c>
      <c r="E1219" s="158" t="s">
        <v>1079</v>
      </c>
      <c r="F1219" s="159" t="str">
        <f t="shared" si="54"/>
        <v/>
      </c>
      <c r="G1219" s="160" t="e">
        <f>IF(A1219&lt;&gt;"",IF(AND(#REF!="Padrão",$H$4=#REF!),BDI!$B$17,IF(AND(#REF!="Padrão",$H$4=#REF!),BDI!$C$17,IF(AND(#REF!="Diferenciado",$H$4=#REF!),BDI!$G$17,IF(AND(#REF!="Diferenciado",$H$4=#REF!),BDI!$H$17,IF(#REF!="ZERO",0))))),"")</f>
        <v>#REF!</v>
      </c>
      <c r="H1219" s="161" t="str">
        <f t="shared" si="55"/>
        <v/>
      </c>
      <c r="I1219" s="159" t="str">
        <f t="shared" si="56"/>
        <v/>
      </c>
    </row>
    <row r="1220" spans="1:9" hidden="1" x14ac:dyDescent="0.25">
      <c r="A1220" s="102" t="s">
        <v>4530</v>
      </c>
      <c r="B1220" s="103" t="s">
        <v>4531</v>
      </c>
      <c r="C1220" s="104" t="s">
        <v>32</v>
      </c>
      <c r="D1220" s="104">
        <v>0</v>
      </c>
      <c r="E1220" s="158" t="s">
        <v>1079</v>
      </c>
      <c r="F1220" s="159" t="str">
        <f t="shared" si="54"/>
        <v/>
      </c>
      <c r="G1220" s="160" t="e">
        <f>IF(A1220&lt;&gt;"",IF(AND(#REF!="Padrão",$H$4=#REF!),BDI!$B$17,IF(AND(#REF!="Padrão",$H$4=#REF!),BDI!$C$17,IF(AND(#REF!="Diferenciado",$H$4=#REF!),BDI!$G$17,IF(AND(#REF!="Diferenciado",$H$4=#REF!),BDI!$H$17,IF(#REF!="ZERO",0))))),"")</f>
        <v>#REF!</v>
      </c>
      <c r="H1220" s="161" t="str">
        <f t="shared" si="55"/>
        <v/>
      </c>
      <c r="I1220" s="159" t="str">
        <f t="shared" si="56"/>
        <v/>
      </c>
    </row>
    <row r="1221" spans="1:9" hidden="1" x14ac:dyDescent="0.25">
      <c r="A1221" s="102" t="s">
        <v>4532</v>
      </c>
      <c r="B1221" s="103" t="s">
        <v>4533</v>
      </c>
      <c r="C1221" s="104" t="s">
        <v>32</v>
      </c>
      <c r="D1221" s="104">
        <v>0</v>
      </c>
      <c r="E1221" s="158" t="s">
        <v>1079</v>
      </c>
      <c r="F1221" s="159" t="str">
        <f t="shared" si="54"/>
        <v/>
      </c>
      <c r="G1221" s="160" t="e">
        <f>IF(A1221&lt;&gt;"",IF(AND(#REF!="Padrão",$H$4=#REF!),BDI!$B$17,IF(AND(#REF!="Padrão",$H$4=#REF!),BDI!$C$17,IF(AND(#REF!="Diferenciado",$H$4=#REF!),BDI!$G$17,IF(AND(#REF!="Diferenciado",$H$4=#REF!),BDI!$H$17,IF(#REF!="ZERO",0))))),"")</f>
        <v>#REF!</v>
      </c>
      <c r="H1221" s="161" t="str">
        <f t="shared" si="55"/>
        <v/>
      </c>
      <c r="I1221" s="159" t="str">
        <f t="shared" si="56"/>
        <v/>
      </c>
    </row>
    <row r="1222" spans="1:9" hidden="1" x14ac:dyDescent="0.25">
      <c r="A1222" s="102" t="s">
        <v>4534</v>
      </c>
      <c r="B1222" s="103" t="s">
        <v>4535</v>
      </c>
      <c r="C1222" s="104" t="s">
        <v>32</v>
      </c>
      <c r="D1222" s="104">
        <v>0</v>
      </c>
      <c r="E1222" s="158" t="s">
        <v>1079</v>
      </c>
      <c r="F1222" s="159" t="str">
        <f t="shared" si="54"/>
        <v/>
      </c>
      <c r="G1222" s="160" t="e">
        <f>IF(A1222&lt;&gt;"",IF(AND(#REF!="Padrão",$H$4=#REF!),BDI!$B$17,IF(AND(#REF!="Padrão",$H$4=#REF!),BDI!$C$17,IF(AND(#REF!="Diferenciado",$H$4=#REF!),BDI!$G$17,IF(AND(#REF!="Diferenciado",$H$4=#REF!),BDI!$H$17,IF(#REF!="ZERO",0))))),"")</f>
        <v>#REF!</v>
      </c>
      <c r="H1222" s="161" t="str">
        <f t="shared" si="55"/>
        <v/>
      </c>
      <c r="I1222" s="159" t="str">
        <f t="shared" si="56"/>
        <v/>
      </c>
    </row>
    <row r="1223" spans="1:9" hidden="1" x14ac:dyDescent="0.25">
      <c r="A1223" s="102" t="s">
        <v>4536</v>
      </c>
      <c r="B1223" s="103" t="s">
        <v>4537</v>
      </c>
      <c r="C1223" s="104" t="s">
        <v>1171</v>
      </c>
      <c r="D1223" s="104">
        <v>0</v>
      </c>
      <c r="E1223" s="158" t="s">
        <v>1079</v>
      </c>
      <c r="F1223" s="159" t="str">
        <f t="shared" ref="F1223:F1239" si="57">IF(ISNUMBER(E1223),D1223*E1223,"")</f>
        <v/>
      </c>
      <c r="G1223" s="160" t="e">
        <f>IF(A1223&lt;&gt;"",IF(AND(#REF!="Padrão",$H$4=#REF!),BDI!$B$17,IF(AND(#REF!="Padrão",$H$4=#REF!),BDI!$C$17,IF(AND(#REF!="Diferenciado",$H$4=#REF!),BDI!$G$17,IF(AND(#REF!="Diferenciado",$H$4=#REF!),BDI!$H$17,IF(#REF!="ZERO",0))))),"")</f>
        <v>#REF!</v>
      </c>
      <c r="H1223" s="161" t="str">
        <f t="shared" ref="H1223:H1239" si="58">IF(ISNUMBER(E1223),ROUND(E1223*(1+G1223),2),"")</f>
        <v/>
      </c>
      <c r="I1223" s="159" t="str">
        <f t="shared" ref="I1223:I1239" si="59">IF(ISNUMBER(E1223),ROUND(H1223*D1223,2),"")</f>
        <v/>
      </c>
    </row>
    <row r="1224" spans="1:9" hidden="1" x14ac:dyDescent="0.25">
      <c r="A1224" s="102" t="s">
        <v>4538</v>
      </c>
      <c r="B1224" s="103" t="s">
        <v>4539</v>
      </c>
      <c r="C1224" s="104" t="s">
        <v>32</v>
      </c>
      <c r="D1224" s="104">
        <v>0</v>
      </c>
      <c r="E1224" s="158" t="s">
        <v>1079</v>
      </c>
      <c r="F1224" s="159" t="str">
        <f t="shared" si="57"/>
        <v/>
      </c>
      <c r="G1224" s="160" t="e">
        <f>IF(A1224&lt;&gt;"",IF(AND(#REF!="Padrão",$H$4=#REF!),BDI!$B$17,IF(AND(#REF!="Padrão",$H$4=#REF!),BDI!$C$17,IF(AND(#REF!="Diferenciado",$H$4=#REF!),BDI!$G$17,IF(AND(#REF!="Diferenciado",$H$4=#REF!),BDI!$H$17,IF(#REF!="ZERO",0))))),"")</f>
        <v>#REF!</v>
      </c>
      <c r="H1224" s="161" t="str">
        <f t="shared" si="58"/>
        <v/>
      </c>
      <c r="I1224" s="159" t="str">
        <f t="shared" si="59"/>
        <v/>
      </c>
    </row>
    <row r="1225" spans="1:9" hidden="1" x14ac:dyDescent="0.25">
      <c r="A1225" s="102" t="s">
        <v>4540</v>
      </c>
      <c r="B1225" s="103" t="s">
        <v>4541</v>
      </c>
      <c r="C1225" s="104" t="s">
        <v>32</v>
      </c>
      <c r="D1225" s="104">
        <v>0</v>
      </c>
      <c r="E1225" s="158" t="s">
        <v>1079</v>
      </c>
      <c r="F1225" s="159" t="str">
        <f t="shared" si="57"/>
        <v/>
      </c>
      <c r="G1225" s="160" t="e">
        <f>IF(A1225&lt;&gt;"",IF(AND(#REF!="Padrão",$H$4=#REF!),BDI!$B$17,IF(AND(#REF!="Padrão",$H$4=#REF!),BDI!$C$17,IF(AND(#REF!="Diferenciado",$H$4=#REF!),BDI!$G$17,IF(AND(#REF!="Diferenciado",$H$4=#REF!),BDI!$H$17,IF(#REF!="ZERO",0))))),"")</f>
        <v>#REF!</v>
      </c>
      <c r="H1225" s="161" t="str">
        <f t="shared" si="58"/>
        <v/>
      </c>
      <c r="I1225" s="159" t="str">
        <f t="shared" si="59"/>
        <v/>
      </c>
    </row>
    <row r="1226" spans="1:9" hidden="1" x14ac:dyDescent="0.25">
      <c r="A1226" s="102" t="s">
        <v>4542</v>
      </c>
      <c r="B1226" s="103" t="s">
        <v>4543</v>
      </c>
      <c r="C1226" s="104" t="s">
        <v>32</v>
      </c>
      <c r="D1226" s="104">
        <v>0</v>
      </c>
      <c r="E1226" s="158" t="s">
        <v>1079</v>
      </c>
      <c r="F1226" s="159" t="str">
        <f t="shared" si="57"/>
        <v/>
      </c>
      <c r="G1226" s="160" t="e">
        <f>IF(A1226&lt;&gt;"",IF(AND(#REF!="Padrão",$H$4=#REF!),BDI!$B$17,IF(AND(#REF!="Padrão",$H$4=#REF!),BDI!$C$17,IF(AND(#REF!="Diferenciado",$H$4=#REF!),BDI!$G$17,IF(AND(#REF!="Diferenciado",$H$4=#REF!),BDI!$H$17,IF(#REF!="ZERO",0))))),"")</f>
        <v>#REF!</v>
      </c>
      <c r="H1226" s="161" t="str">
        <f t="shared" si="58"/>
        <v/>
      </c>
      <c r="I1226" s="159" t="str">
        <f t="shared" si="59"/>
        <v/>
      </c>
    </row>
    <row r="1227" spans="1:9" hidden="1" x14ac:dyDescent="0.25">
      <c r="A1227" s="102" t="s">
        <v>4544</v>
      </c>
      <c r="B1227" s="103" t="s">
        <v>4545</v>
      </c>
      <c r="C1227" s="104" t="s">
        <v>32</v>
      </c>
      <c r="D1227" s="104">
        <v>0</v>
      </c>
      <c r="E1227" s="158" t="s">
        <v>1079</v>
      </c>
      <c r="F1227" s="159" t="str">
        <f t="shared" si="57"/>
        <v/>
      </c>
      <c r="G1227" s="160" t="e">
        <f>IF(A1227&lt;&gt;"",IF(AND(#REF!="Padrão",$H$4=#REF!),BDI!$B$17,IF(AND(#REF!="Padrão",$H$4=#REF!),BDI!$C$17,IF(AND(#REF!="Diferenciado",$H$4=#REF!),BDI!$G$17,IF(AND(#REF!="Diferenciado",$H$4=#REF!),BDI!$H$17,IF(#REF!="ZERO",0))))),"")</f>
        <v>#REF!</v>
      </c>
      <c r="H1227" s="161" t="str">
        <f t="shared" si="58"/>
        <v/>
      </c>
      <c r="I1227" s="159" t="str">
        <f t="shared" si="59"/>
        <v/>
      </c>
    </row>
    <row r="1228" spans="1:9" hidden="1" x14ac:dyDescent="0.25">
      <c r="A1228" s="102" t="s">
        <v>4546</v>
      </c>
      <c r="B1228" s="103" t="s">
        <v>4547</v>
      </c>
      <c r="C1228" s="104" t="s">
        <v>184</v>
      </c>
      <c r="D1228" s="104">
        <v>0</v>
      </c>
      <c r="E1228" s="158" t="s">
        <v>1079</v>
      </c>
      <c r="F1228" s="159" t="str">
        <f t="shared" si="57"/>
        <v/>
      </c>
      <c r="G1228" s="160" t="e">
        <f>IF(A1228&lt;&gt;"",IF(AND(#REF!="Padrão",$H$4=#REF!),BDI!$B$17,IF(AND(#REF!="Padrão",$H$4=#REF!),BDI!$C$17,IF(AND(#REF!="Diferenciado",$H$4=#REF!),BDI!$G$17,IF(AND(#REF!="Diferenciado",$H$4=#REF!),BDI!$H$17,IF(#REF!="ZERO",0))))),"")</f>
        <v>#REF!</v>
      </c>
      <c r="H1228" s="161" t="str">
        <f t="shared" si="58"/>
        <v/>
      </c>
      <c r="I1228" s="159" t="str">
        <f t="shared" si="59"/>
        <v/>
      </c>
    </row>
    <row r="1229" spans="1:9" hidden="1" x14ac:dyDescent="0.25">
      <c r="A1229" s="102" t="s">
        <v>4548</v>
      </c>
      <c r="B1229" s="103" t="s">
        <v>4549</v>
      </c>
      <c r="C1229" s="104" t="s">
        <v>32</v>
      </c>
      <c r="D1229" s="104">
        <v>0</v>
      </c>
      <c r="E1229" s="158" t="s">
        <v>1079</v>
      </c>
      <c r="F1229" s="159" t="str">
        <f t="shared" si="57"/>
        <v/>
      </c>
      <c r="G1229" s="160" t="e">
        <f>IF(A1229&lt;&gt;"",IF(AND(#REF!="Padrão",$H$4=#REF!),BDI!$B$17,IF(AND(#REF!="Padrão",$H$4=#REF!),BDI!$C$17,IF(AND(#REF!="Diferenciado",$H$4=#REF!),BDI!$G$17,IF(AND(#REF!="Diferenciado",$H$4=#REF!),BDI!$H$17,IF(#REF!="ZERO",0))))),"")</f>
        <v>#REF!</v>
      </c>
      <c r="H1229" s="161" t="str">
        <f t="shared" si="58"/>
        <v/>
      </c>
      <c r="I1229" s="159" t="str">
        <f t="shared" si="59"/>
        <v/>
      </c>
    </row>
    <row r="1230" spans="1:9" hidden="1" x14ac:dyDescent="0.25">
      <c r="A1230" s="102" t="s">
        <v>4550</v>
      </c>
      <c r="B1230" s="103" t="s">
        <v>4551</v>
      </c>
      <c r="C1230" s="104" t="s">
        <v>189</v>
      </c>
      <c r="D1230" s="104">
        <v>0</v>
      </c>
      <c r="E1230" s="158" t="s">
        <v>1079</v>
      </c>
      <c r="F1230" s="159" t="str">
        <f t="shared" si="57"/>
        <v/>
      </c>
      <c r="G1230" s="160" t="e">
        <f>IF(A1230&lt;&gt;"",IF(AND(#REF!="Padrão",$H$4=#REF!),BDI!$B$17,IF(AND(#REF!="Padrão",$H$4=#REF!),BDI!$C$17,IF(AND(#REF!="Diferenciado",$H$4=#REF!),BDI!$G$17,IF(AND(#REF!="Diferenciado",$H$4=#REF!),BDI!$H$17,IF(#REF!="ZERO",0))))),"")</f>
        <v>#REF!</v>
      </c>
      <c r="H1230" s="161" t="str">
        <f t="shared" si="58"/>
        <v/>
      </c>
      <c r="I1230" s="159" t="str">
        <f t="shared" si="59"/>
        <v/>
      </c>
    </row>
    <row r="1231" spans="1:9" hidden="1" x14ac:dyDescent="0.25">
      <c r="A1231" s="102" t="s">
        <v>4552</v>
      </c>
      <c r="B1231" s="103" t="s">
        <v>4553</v>
      </c>
      <c r="C1231" s="104" t="s">
        <v>3133</v>
      </c>
      <c r="D1231" s="104">
        <v>0</v>
      </c>
      <c r="E1231" s="158" t="s">
        <v>1079</v>
      </c>
      <c r="F1231" s="159" t="str">
        <f t="shared" si="57"/>
        <v/>
      </c>
      <c r="G1231" s="160" t="e">
        <f>IF(A1231&lt;&gt;"",IF(AND(#REF!="Padrão",$H$4=#REF!),BDI!$B$17,IF(AND(#REF!="Padrão",$H$4=#REF!),BDI!$C$17,IF(AND(#REF!="Diferenciado",$H$4=#REF!),BDI!$G$17,IF(AND(#REF!="Diferenciado",$H$4=#REF!),BDI!$H$17,IF(#REF!="ZERO",0))))),"")</f>
        <v>#REF!</v>
      </c>
      <c r="H1231" s="161" t="str">
        <f t="shared" si="58"/>
        <v/>
      </c>
      <c r="I1231" s="159" t="str">
        <f t="shared" si="59"/>
        <v/>
      </c>
    </row>
    <row r="1232" spans="1:9" ht="38.25" hidden="1" x14ac:dyDescent="0.25">
      <c r="A1232" s="102" t="s">
        <v>4554</v>
      </c>
      <c r="B1232" s="103" t="s">
        <v>4555</v>
      </c>
      <c r="C1232" s="104" t="s">
        <v>32</v>
      </c>
      <c r="D1232" s="104">
        <v>0</v>
      </c>
      <c r="E1232" s="158" t="s">
        <v>1079</v>
      </c>
      <c r="F1232" s="159" t="str">
        <f t="shared" si="57"/>
        <v/>
      </c>
      <c r="G1232" s="160" t="e">
        <f>IF(A1232&lt;&gt;"",IF(AND(#REF!="Padrão",$H$4=#REF!),BDI!$B$17,IF(AND(#REF!="Padrão",$H$4=#REF!),BDI!$C$17,IF(AND(#REF!="Diferenciado",$H$4=#REF!),BDI!$G$17,IF(AND(#REF!="Diferenciado",$H$4=#REF!),BDI!$H$17,IF(#REF!="ZERO",0))))),"")</f>
        <v>#REF!</v>
      </c>
      <c r="H1232" s="161" t="str">
        <f t="shared" si="58"/>
        <v/>
      </c>
      <c r="I1232" s="159" t="str">
        <f t="shared" si="59"/>
        <v/>
      </c>
    </row>
    <row r="1233" spans="1:9" ht="38.25" hidden="1" x14ac:dyDescent="0.25">
      <c r="A1233" s="102" t="s">
        <v>4556</v>
      </c>
      <c r="B1233" s="103" t="s">
        <v>4557</v>
      </c>
      <c r="C1233" s="104" t="s">
        <v>32</v>
      </c>
      <c r="D1233" s="104">
        <v>0</v>
      </c>
      <c r="E1233" s="158" t="s">
        <v>1079</v>
      </c>
      <c r="F1233" s="159" t="str">
        <f t="shared" si="57"/>
        <v/>
      </c>
      <c r="G1233" s="160" t="e">
        <f>IF(A1233&lt;&gt;"",IF(AND(#REF!="Padrão",$H$4=#REF!),BDI!$B$17,IF(AND(#REF!="Padrão",$H$4=#REF!),BDI!$C$17,IF(AND(#REF!="Diferenciado",$H$4=#REF!),BDI!$G$17,IF(AND(#REF!="Diferenciado",$H$4=#REF!),BDI!$H$17,IF(#REF!="ZERO",0))))),"")</f>
        <v>#REF!</v>
      </c>
      <c r="H1233" s="161" t="str">
        <f t="shared" si="58"/>
        <v/>
      </c>
      <c r="I1233" s="159" t="str">
        <f t="shared" si="59"/>
        <v/>
      </c>
    </row>
    <row r="1234" spans="1:9" hidden="1" x14ac:dyDescent="0.25">
      <c r="A1234" s="102" t="s">
        <v>4558</v>
      </c>
      <c r="B1234" s="103" t="s">
        <v>4559</v>
      </c>
      <c r="C1234" s="104" t="s">
        <v>32</v>
      </c>
      <c r="D1234" s="104">
        <v>0</v>
      </c>
      <c r="E1234" s="158" t="s">
        <v>1079</v>
      </c>
      <c r="F1234" s="159" t="str">
        <f t="shared" si="57"/>
        <v/>
      </c>
      <c r="G1234" s="160" t="e">
        <f>IF(A1234&lt;&gt;"",IF(AND(#REF!="Padrão",$H$4=#REF!),BDI!$B$17,IF(AND(#REF!="Padrão",$H$4=#REF!),BDI!$C$17,IF(AND(#REF!="Diferenciado",$H$4=#REF!),BDI!$G$17,IF(AND(#REF!="Diferenciado",$H$4=#REF!),BDI!$H$17,IF(#REF!="ZERO",0))))),"")</f>
        <v>#REF!</v>
      </c>
      <c r="H1234" s="161" t="str">
        <f t="shared" si="58"/>
        <v/>
      </c>
      <c r="I1234" s="159" t="str">
        <f t="shared" si="59"/>
        <v/>
      </c>
    </row>
    <row r="1235" spans="1:9" hidden="1" x14ac:dyDescent="0.25">
      <c r="A1235" s="102" t="s">
        <v>4560</v>
      </c>
      <c r="B1235" s="103" t="s">
        <v>4561</v>
      </c>
      <c r="C1235" s="104" t="s">
        <v>32</v>
      </c>
      <c r="D1235" s="104">
        <v>0</v>
      </c>
      <c r="E1235" s="158" t="s">
        <v>1079</v>
      </c>
      <c r="F1235" s="159" t="str">
        <f t="shared" si="57"/>
        <v/>
      </c>
      <c r="G1235" s="160" t="e">
        <f>IF(A1235&lt;&gt;"",IF(AND(#REF!="Padrão",$H$4=#REF!),BDI!$B$17,IF(AND(#REF!="Padrão",$H$4=#REF!),BDI!$C$17,IF(AND(#REF!="Diferenciado",$H$4=#REF!),BDI!$G$17,IF(AND(#REF!="Diferenciado",$H$4=#REF!),BDI!$H$17,IF(#REF!="ZERO",0))))),"")</f>
        <v>#REF!</v>
      </c>
      <c r="H1235" s="161" t="str">
        <f t="shared" si="58"/>
        <v/>
      </c>
      <c r="I1235" s="159" t="str">
        <f t="shared" si="59"/>
        <v/>
      </c>
    </row>
    <row r="1236" spans="1:9" hidden="1" x14ac:dyDescent="0.25">
      <c r="A1236" s="102" t="s">
        <v>4562</v>
      </c>
      <c r="B1236" s="103" t="s">
        <v>4563</v>
      </c>
      <c r="C1236" s="104" t="s">
        <v>32</v>
      </c>
      <c r="D1236" s="104">
        <v>0</v>
      </c>
      <c r="E1236" s="158" t="s">
        <v>1079</v>
      </c>
      <c r="F1236" s="159" t="str">
        <f t="shared" si="57"/>
        <v/>
      </c>
      <c r="G1236" s="160" t="e">
        <f>IF(A1236&lt;&gt;"",IF(AND(#REF!="Padrão",$H$4=#REF!),BDI!$B$17,IF(AND(#REF!="Padrão",$H$4=#REF!),BDI!$C$17,IF(AND(#REF!="Diferenciado",$H$4=#REF!),BDI!$G$17,IF(AND(#REF!="Diferenciado",$H$4=#REF!),BDI!$H$17,IF(#REF!="ZERO",0))))),"")</f>
        <v>#REF!</v>
      </c>
      <c r="H1236" s="161" t="str">
        <f t="shared" si="58"/>
        <v/>
      </c>
      <c r="I1236" s="159" t="str">
        <f t="shared" si="59"/>
        <v/>
      </c>
    </row>
    <row r="1237" spans="1:9" hidden="1" x14ac:dyDescent="0.25">
      <c r="A1237" s="102" t="s">
        <v>2617</v>
      </c>
      <c r="B1237" s="103" t="s">
        <v>4564</v>
      </c>
      <c r="C1237" s="104" t="s">
        <v>189</v>
      </c>
      <c r="D1237" s="104">
        <v>0</v>
      </c>
      <c r="E1237" s="158">
        <f ca="1">OFFSET(INDEX(Composições!A:J,MATCH(Orçamentária!A1237,Composições!A:A,0),10),2,0)</f>
        <v>10.61055</v>
      </c>
      <c r="F1237" s="159">
        <f t="shared" ca="1" si="57"/>
        <v>0</v>
      </c>
      <c r="G1237" s="160" t="e">
        <f>IF(A1237&lt;&gt;"",IF(AND(#REF!="Padrão",$H$4=#REF!),BDI!$B$17,IF(AND(#REF!="Padrão",$H$4=#REF!),BDI!$C$17,IF(AND(#REF!="Diferenciado",$H$4=#REF!),BDI!$G$17,IF(AND(#REF!="Diferenciado",$H$4=#REF!),BDI!$H$17,IF(#REF!="ZERO",0))))),"")</f>
        <v>#REF!</v>
      </c>
      <c r="H1237" s="161" t="e">
        <f t="shared" ca="1" si="58"/>
        <v>#REF!</v>
      </c>
      <c r="I1237" s="159" t="e">
        <f t="shared" ca="1" si="59"/>
        <v>#REF!</v>
      </c>
    </row>
    <row r="1238" spans="1:9" hidden="1" x14ac:dyDescent="0.25">
      <c r="A1238" s="102" t="s">
        <v>2622</v>
      </c>
      <c r="B1238" s="103" t="s">
        <v>4565</v>
      </c>
      <c r="C1238" s="104" t="s">
        <v>189</v>
      </c>
      <c r="D1238" s="104">
        <v>0</v>
      </c>
      <c r="E1238" s="158">
        <f ca="1">OFFSET(INDEX(Composições!A:J,MATCH(Orçamentária!A1238,Composições!A:A,0),10),2,0)</f>
        <v>1.6240249999999998</v>
      </c>
      <c r="F1238" s="159">
        <f t="shared" ca="1" si="57"/>
        <v>0</v>
      </c>
      <c r="G1238" s="160" t="e">
        <f>IF(A1238&lt;&gt;"",IF(AND(#REF!="Padrão",$H$4=#REF!),BDI!$B$17,IF(AND(#REF!="Padrão",$H$4=#REF!),BDI!$C$17,IF(AND(#REF!="Diferenciado",$H$4=#REF!),BDI!$G$17,IF(AND(#REF!="Diferenciado",$H$4=#REF!),BDI!$H$17,IF(#REF!="ZERO",0))))),"")</f>
        <v>#REF!</v>
      </c>
      <c r="H1238" s="161" t="e">
        <f t="shared" ca="1" si="58"/>
        <v>#REF!</v>
      </c>
      <c r="I1238" s="159" t="e">
        <f t="shared" ca="1" si="59"/>
        <v>#REF!</v>
      </c>
    </row>
    <row r="1239" spans="1:9" hidden="1" x14ac:dyDescent="0.25">
      <c r="A1239" s="102" t="s">
        <v>4566</v>
      </c>
      <c r="B1239" s="103" t="s">
        <v>4567</v>
      </c>
      <c r="C1239" s="104" t="s">
        <v>32</v>
      </c>
      <c r="D1239" s="104">
        <v>0</v>
      </c>
      <c r="E1239" s="158" t="s">
        <v>1079</v>
      </c>
      <c r="F1239" s="159" t="str">
        <f t="shared" si="57"/>
        <v/>
      </c>
      <c r="G1239" s="160" t="e">
        <f>IF(A1239&lt;&gt;"",IF(AND(#REF!="Padrão",$H$4=#REF!),BDI!$B$17,IF(AND(#REF!="Padrão",$H$4=#REF!),BDI!$C$17,IF(AND(#REF!="Diferenciado",$H$4=#REF!),BDI!$G$17,IF(AND(#REF!="Diferenciado",$H$4=#REF!),BDI!$H$17,IF(#REF!="ZERO",0))))),"")</f>
        <v>#REF!</v>
      </c>
      <c r="H1239" s="161" t="str">
        <f t="shared" si="58"/>
        <v/>
      </c>
      <c r="I1239" s="198" t="str">
        <f t="shared" si="59"/>
        <v/>
      </c>
    </row>
    <row r="1240" spans="1:9" ht="5.0999999999999996" customHeight="1" thickBot="1" x14ac:dyDescent="0.3">
      <c r="A1240" s="108"/>
      <c r="B1240" s="109"/>
      <c r="C1240" s="110"/>
      <c r="D1240" s="110"/>
      <c r="E1240" s="111"/>
      <c r="F1240" s="111"/>
      <c r="G1240" s="112"/>
      <c r="H1240" s="113"/>
      <c r="I1240" s="203"/>
    </row>
    <row r="1241" spans="1:9" ht="15.75" thickBot="1" x14ac:dyDescent="0.3">
      <c r="A1241" s="165">
        <f>SUBTOTAL(103,A6:A1239)</f>
        <v>143</v>
      </c>
      <c r="B1241" s="114"/>
      <c r="C1241" s="164"/>
      <c r="D1241" s="115"/>
      <c r="E1241" s="115"/>
      <c r="F1241" s="162"/>
      <c r="G1241" s="115"/>
      <c r="H1241" s="212" t="s">
        <v>2711</v>
      </c>
      <c r="I1241" s="200">
        <f ca="1">SUBTOTAL(109,F6:F1239)</f>
        <v>375606.35984824668</v>
      </c>
    </row>
    <row r="1242" spans="1:9" ht="15.75" thickBot="1" x14ac:dyDescent="0.3">
      <c r="A1242" s="116"/>
      <c r="B1242" s="117"/>
      <c r="C1242" s="164"/>
      <c r="D1242" s="118"/>
      <c r="E1242" s="118"/>
      <c r="F1242" s="163"/>
      <c r="G1242" s="119"/>
      <c r="H1242" s="213" t="s">
        <v>14</v>
      </c>
      <c r="I1242" s="201">
        <f ca="1">SUBTOTAL(109,I6:I1239)</f>
        <v>451576.92999999993</v>
      </c>
    </row>
    <row r="1243" spans="1:9" x14ac:dyDescent="0.25">
      <c r="A1243" s="3"/>
      <c r="B1243" s="120"/>
      <c r="C1243" s="3"/>
      <c r="D1243" s="121"/>
      <c r="E1243" s="122"/>
      <c r="F1243" s="123"/>
      <c r="G1243" s="122"/>
      <c r="H1243" s="122"/>
      <c r="I1243" s="123"/>
    </row>
    <row r="1244" spans="1:9" x14ac:dyDescent="0.25">
      <c r="A1244" s="3"/>
      <c r="B1244" s="120"/>
      <c r="C1244" s="3"/>
      <c r="D1244" s="124"/>
      <c r="E1244" s="125"/>
      <c r="F1244" s="125"/>
      <c r="G1244" s="125"/>
      <c r="H1244" s="125"/>
      <c r="I1244" s="125"/>
    </row>
  </sheetData>
  <sheetProtection algorithmName="SHA-512" hashValue="+2/a1DU2nWlGfhCRI97aUErzXRNxacddmIZfW39FoabTeodzc+1TgySVa4Mk219tq/8RSirqlJz5+1bQTHcq9A==" saltValue="PNDpv77+LdiRFP/WAtifYA==" spinCount="100000" sheet="1" objects="1" scenarios="1"/>
  <autoFilter ref="A5:I1239">
    <filterColumn colId="3">
      <filters>
        <filter val="0,36"/>
        <filter val="0,47"/>
        <filter val="0,72"/>
        <filter val="0,78"/>
        <filter val="0,80"/>
        <filter val="0,97"/>
        <filter val="1,00"/>
        <filter val="1,50"/>
        <filter val="1,56"/>
        <filter val="1,83"/>
        <filter val="10,00"/>
        <filter val="100,00"/>
        <filter val="11,08"/>
        <filter val="11,66"/>
        <filter val="11,90"/>
        <filter val="12,00"/>
        <filter val="12,60"/>
        <filter val="120,00"/>
        <filter val="126,00"/>
        <filter val="13,00"/>
        <filter val="14,00"/>
        <filter val="14,28"/>
        <filter val="14,55"/>
        <filter val="145,15"/>
        <filter val="15,00"/>
        <filter val="152,63"/>
        <filter val="16,58"/>
        <filter val="16,80"/>
        <filter val="167,00"/>
        <filter val="17,00"/>
        <filter val="174,18"/>
        <filter val="18,06"/>
        <filter val="2,00"/>
        <filter val="2,59"/>
        <filter val="2,80"/>
        <filter val="2,87"/>
        <filter val="21,06"/>
        <filter val="215,00"/>
        <filter val="22,00"/>
        <filter val="22,09"/>
        <filter val="22,55"/>
        <filter val="22,70"/>
        <filter val="24,73"/>
        <filter val="249,00"/>
        <filter val="26,42"/>
        <filter val="26,85"/>
        <filter val="27,00"/>
        <filter val="3,00"/>
        <filter val="3,87"/>
        <filter val="3,97"/>
        <filter val="300,00"/>
        <filter val="35,30"/>
        <filter val="36,00"/>
        <filter val="360,00"/>
        <filter val="38,94"/>
        <filter val="4,00"/>
        <filter val="4,27"/>
        <filter val="4,60"/>
        <filter val="4,68"/>
        <filter val="4,90"/>
        <filter val="40,00"/>
        <filter val="40,10"/>
        <filter val="40,15"/>
        <filter val="40,66"/>
        <filter val="42,00"/>
        <filter val="440,00"/>
        <filter val="45,00"/>
        <filter val="45,50"/>
        <filter val="47,19"/>
        <filter val="480,00"/>
        <filter val="49,30"/>
        <filter val="5,65"/>
        <filter val="53,55"/>
        <filter val="54,04"/>
        <filter val="56,33"/>
        <filter val="57,00"/>
        <filter val="576,34"/>
        <filter val="6,00"/>
        <filter val="6,12"/>
        <filter val="63,63"/>
        <filter val="64,00"/>
        <filter val="7,00"/>
        <filter val="7,24"/>
        <filter val="70,00"/>
        <filter val="8,00"/>
        <filter val="8,87"/>
        <filter val="8,91"/>
        <filter val="81,52"/>
        <filter val="82,00"/>
        <filter val="84,00"/>
        <filter val="89,54"/>
        <filter val="89,76"/>
        <filter val="9,00"/>
        <filter val="96,00"/>
      </filters>
    </filterColumn>
  </autoFilter>
  <conditionalFormatting sqref="C6">
    <cfRule type="containsBlanks" dxfId="1570" priority="23">
      <formula>LEN(TRIM(C6))=0</formula>
    </cfRule>
    <cfRule type="containsBlanks" priority="24">
      <formula>LEN(TRIM(C6))=0</formula>
    </cfRule>
  </conditionalFormatting>
  <conditionalFormatting sqref="C341:C354">
    <cfRule type="containsBlanks" dxfId="1569" priority="21">
      <formula>LEN(TRIM(C341))=0</formula>
    </cfRule>
    <cfRule type="containsBlanks" priority="22">
      <formula>LEN(TRIM(C341))=0</formula>
    </cfRule>
  </conditionalFormatting>
  <conditionalFormatting sqref="C355:C356">
    <cfRule type="containsBlanks" dxfId="1568" priority="19">
      <formula>LEN(TRIM(C355))=0</formula>
    </cfRule>
    <cfRule type="containsBlanks" priority="20">
      <formula>LEN(TRIM(C355))=0</formula>
    </cfRule>
  </conditionalFormatting>
  <conditionalFormatting sqref="C340">
    <cfRule type="containsBlanks" dxfId="1567" priority="17">
      <formula>LEN(TRIM(C340))=0</formula>
    </cfRule>
    <cfRule type="containsBlanks" priority="18">
      <formula>LEN(TRIM(C340))=0</formula>
    </cfRule>
  </conditionalFormatting>
  <conditionalFormatting sqref="C942:C943">
    <cfRule type="containsBlanks" dxfId="1566" priority="15">
      <formula>LEN(TRIM(C942))=0</formula>
    </cfRule>
    <cfRule type="containsBlanks" priority="16">
      <formula>LEN(TRIM(C942))=0</formula>
    </cfRule>
  </conditionalFormatting>
  <conditionalFormatting sqref="C59">
    <cfRule type="containsBlanks" dxfId="1565" priority="13">
      <formula>LEN(TRIM(C59))=0</formula>
    </cfRule>
    <cfRule type="containsBlanks" priority="14">
      <formula>LEN(TRIM(C59))=0</formula>
    </cfRule>
  </conditionalFormatting>
  <conditionalFormatting sqref="C61">
    <cfRule type="containsBlanks" dxfId="1564" priority="11">
      <formula>LEN(TRIM(C61))=0</formula>
    </cfRule>
    <cfRule type="containsBlanks" priority="12">
      <formula>LEN(TRIM(C61))=0</formula>
    </cfRule>
  </conditionalFormatting>
  <conditionalFormatting sqref="C1091">
    <cfRule type="containsBlanks" dxfId="1563" priority="9">
      <formula>LEN(TRIM(C1091))=0</formula>
    </cfRule>
    <cfRule type="containsBlanks" priority="10">
      <formula>LEN(TRIM(C1091))=0</formula>
    </cfRule>
  </conditionalFormatting>
  <conditionalFormatting sqref="C1092">
    <cfRule type="containsBlanks" dxfId="1562" priority="7">
      <formula>LEN(TRIM(C1092))=0</formula>
    </cfRule>
    <cfRule type="containsBlanks" priority="8">
      <formula>LEN(TRIM(C1092))=0</formula>
    </cfRule>
  </conditionalFormatting>
  <conditionalFormatting sqref="C1093:C1101">
    <cfRule type="containsBlanks" dxfId="1561" priority="5">
      <formula>LEN(TRIM(C1093))=0</formula>
    </cfRule>
    <cfRule type="containsBlanks" priority="6">
      <formula>LEN(TRIM(C1093))=0</formula>
    </cfRule>
  </conditionalFormatting>
  <conditionalFormatting sqref="C1104:C1105">
    <cfRule type="containsBlanks" dxfId="1560" priority="3">
      <formula>LEN(TRIM(C1104))=0</formula>
    </cfRule>
    <cfRule type="containsBlanks" priority="4">
      <formula>LEN(TRIM(C1104))=0</formula>
    </cfRule>
  </conditionalFormatting>
  <conditionalFormatting sqref="B1234:B1238">
    <cfRule type="duplicateValues" dxfId="1559" priority="2"/>
  </conditionalFormatting>
  <conditionalFormatting sqref="B6:B1233 B1239:B1240">
    <cfRule type="duplicateValues" dxfId="1558" priority="25"/>
  </conditionalFormatting>
  <printOptions horizontalCentered="1"/>
  <pageMargins left="0.19685039370078741" right="0.19685039370078741" top="1.3779527559055118" bottom="0.59055118110236227" header="0.19685039370078741" footer="0.19685039370078741"/>
  <pageSetup paperSize="9" scale="63"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4" filterMode="1">
    <pageSetUpPr fitToPage="1"/>
  </sheetPr>
  <dimension ref="A1:L4423"/>
  <sheetViews>
    <sheetView zoomScale="80" zoomScaleNormal="80" workbookViewId="0">
      <selection activeCell="L8" sqref="L8"/>
    </sheetView>
  </sheetViews>
  <sheetFormatPr defaultRowHeight="15" x14ac:dyDescent="0.25"/>
  <cols>
    <col min="1" max="1" width="14.7109375" style="106" customWidth="1"/>
    <col min="2" max="2" width="50.7109375" style="106" customWidth="1"/>
    <col min="3" max="3" width="80.7109375" style="276" customWidth="1"/>
    <col min="4" max="4" width="15.7109375" style="106" customWidth="1"/>
    <col min="5" max="5" width="20.7109375" style="106" customWidth="1"/>
    <col min="6" max="6" width="40.7109375" style="106" customWidth="1"/>
    <col min="7" max="7" width="15.7109375" style="106" customWidth="1"/>
    <col min="8" max="8" width="25.7109375" style="106" customWidth="1"/>
    <col min="9" max="10" width="17.7109375" style="106" customWidth="1"/>
    <col min="11" max="11" width="5.7109375" customWidth="1"/>
    <col min="12" max="12" width="14.42578125" customWidth="1"/>
  </cols>
  <sheetData>
    <row r="1" spans="1:12" ht="24.95" customHeight="1" x14ac:dyDescent="0.25">
      <c r="A1" s="215" t="str">
        <f>Orçamentária!A1</f>
        <v>Reforma do Espaço do Servidor - 1ª etapa</v>
      </c>
      <c r="B1" s="215"/>
      <c r="C1" s="215"/>
      <c r="D1" s="215"/>
      <c r="E1" s="216"/>
      <c r="F1" s="215"/>
      <c r="G1" s="215"/>
      <c r="H1" s="215"/>
      <c r="I1" s="215"/>
      <c r="J1" s="215"/>
      <c r="K1" s="6"/>
      <c r="L1" s="7"/>
    </row>
    <row r="2" spans="1:12" ht="24.95" customHeight="1" x14ac:dyDescent="0.25">
      <c r="A2" s="127" t="s">
        <v>5</v>
      </c>
      <c r="B2" s="217"/>
      <c r="C2" s="218"/>
      <c r="D2" s="217"/>
      <c r="E2" s="219"/>
      <c r="F2" s="217"/>
      <c r="G2" s="217"/>
      <c r="H2" s="217"/>
      <c r="I2" s="217"/>
      <c r="J2" s="217"/>
      <c r="K2" s="8"/>
      <c r="L2" s="7"/>
    </row>
    <row r="3" spans="1:12" ht="20.100000000000001" customHeight="1" x14ac:dyDescent="0.25">
      <c r="A3" s="220" t="str">
        <f>Orçamentária!A3</f>
        <v>Data: Julho de 2020</v>
      </c>
      <c r="B3" s="220"/>
      <c r="C3" s="221"/>
      <c r="D3" s="220"/>
      <c r="E3" s="222"/>
      <c r="F3" s="220"/>
      <c r="G3" s="220"/>
      <c r="H3" s="220"/>
      <c r="I3" s="220"/>
      <c r="J3" s="220"/>
      <c r="L3" s="7"/>
    </row>
    <row r="4" spans="1:12" ht="30" customHeight="1" thickBot="1" x14ac:dyDescent="0.3">
      <c r="A4" s="223"/>
      <c r="B4" s="223"/>
      <c r="C4" s="223"/>
      <c r="D4" s="223"/>
      <c r="E4" s="224"/>
      <c r="F4" s="224"/>
      <c r="G4" s="225"/>
      <c r="H4" s="225"/>
      <c r="I4" s="225"/>
      <c r="J4" s="226"/>
      <c r="L4" s="7"/>
    </row>
    <row r="5" spans="1:12" ht="65.099999999999994" customHeight="1" thickBot="1" x14ac:dyDescent="0.3">
      <c r="A5" s="267" t="s">
        <v>6</v>
      </c>
      <c r="B5" s="247" t="s">
        <v>7</v>
      </c>
      <c r="C5" s="247" t="s">
        <v>8</v>
      </c>
      <c r="D5" s="247" t="s">
        <v>9</v>
      </c>
      <c r="E5" s="287" t="s">
        <v>10</v>
      </c>
      <c r="F5" s="247" t="s">
        <v>11</v>
      </c>
      <c r="G5" s="247" t="s">
        <v>12</v>
      </c>
      <c r="H5" s="247" t="s">
        <v>13</v>
      </c>
      <c r="I5" s="247" t="s">
        <v>14</v>
      </c>
      <c r="J5" s="278" t="s">
        <v>15</v>
      </c>
      <c r="K5" s="11"/>
      <c r="L5" s="12" t="s">
        <v>16</v>
      </c>
    </row>
    <row r="6" spans="1:12" ht="15.75" thickBot="1" x14ac:dyDescent="0.3">
      <c r="A6" s="288" t="s">
        <v>18</v>
      </c>
      <c r="B6" s="289" t="str">
        <f>INDEX(Orçamentária!A:B,MATCH(Composições!A6,Orçamentária!A:A,0),2)</f>
        <v>Engenheiro(a) /Arquiteto(a) júnior</v>
      </c>
      <c r="C6" s="274"/>
      <c r="D6" s="265" t="str">
        <f>TRIM(INDEX(Orçamentária!C:C,MATCH(Composições!A6,Orçamentária!A:A,0),1))</f>
        <v>hh</v>
      </c>
      <c r="E6" s="290"/>
      <c r="F6" s="259" t="s">
        <v>19</v>
      </c>
      <c r="G6" s="261" t="s">
        <v>1079</v>
      </c>
      <c r="H6" s="261"/>
      <c r="I6" s="261" t="str">
        <f>IF(ISNUMBER(G6),E6*G6,"")</f>
        <v/>
      </c>
      <c r="J6" s="280"/>
      <c r="K6" s="18"/>
      <c r="L6" s="174">
        <v>120</v>
      </c>
    </row>
    <row r="7" spans="1:12" x14ac:dyDescent="0.25">
      <c r="A7" s="291"/>
      <c r="B7" s="292"/>
      <c r="C7" s="155"/>
      <c r="D7" s="155"/>
      <c r="E7" s="293"/>
      <c r="F7" s="294"/>
      <c r="G7" s="257" t="s">
        <v>1079</v>
      </c>
      <c r="H7" s="155"/>
      <c r="I7" s="258" t="str">
        <f>IF(ISNUMBER(G7),E7*G7,"")</f>
        <v/>
      </c>
      <c r="J7" s="281"/>
      <c r="K7" s="19"/>
      <c r="L7" s="174">
        <v>120</v>
      </c>
    </row>
    <row r="8" spans="1:12" x14ac:dyDescent="0.25">
      <c r="A8" s="291"/>
      <c r="B8" s="292"/>
      <c r="C8" s="105" t="s">
        <v>20</v>
      </c>
      <c r="D8" s="105" t="s">
        <v>21</v>
      </c>
      <c r="E8" s="250">
        <v>1</v>
      </c>
      <c r="F8" s="176" t="s">
        <v>19</v>
      </c>
      <c r="G8" s="257">
        <v>71.591999999999999</v>
      </c>
      <c r="H8" s="176" t="s">
        <v>19</v>
      </c>
      <c r="I8" s="258">
        <f>IF(ISNUMBER(G8),E8*G8,"")</f>
        <v>71.591999999999999</v>
      </c>
      <c r="J8" s="295">
        <f>SUM(I8:I8)</f>
        <v>71.591999999999999</v>
      </c>
      <c r="K8" s="29"/>
      <c r="L8" s="174">
        <v>120</v>
      </c>
    </row>
    <row r="9" spans="1:12" ht="15.75" thickBot="1" x14ac:dyDescent="0.3">
      <c r="A9" s="296"/>
      <c r="B9" s="297"/>
      <c r="C9" s="105"/>
      <c r="D9" s="105"/>
      <c r="E9" s="250"/>
      <c r="F9" s="176"/>
      <c r="G9" s="257" t="s">
        <v>1079</v>
      </c>
      <c r="H9" s="176"/>
      <c r="I9" s="258" t="str">
        <f>IF(ISNUMBER(G9),E9*G9,"")</f>
        <v/>
      </c>
      <c r="J9" s="281"/>
      <c r="K9" s="19"/>
      <c r="L9" s="174">
        <v>120</v>
      </c>
    </row>
    <row r="10" spans="1:12" ht="15.75" thickBot="1" x14ac:dyDescent="0.3">
      <c r="A10" s="298" t="s">
        <v>22</v>
      </c>
      <c r="B10" s="289" t="str">
        <f>INDEX(Orçamentária!A:B,MATCH(Composições!A10,Orçamentária!A:A,0),2)</f>
        <v>Mestre de obras</v>
      </c>
      <c r="C10" s="274"/>
      <c r="D10" s="265" t="str">
        <f>TRIM(INDEX(Orçamentária!C:C,MATCH(Composições!A10,Orçamentária!A:A,0),1))</f>
        <v>hh</v>
      </c>
      <c r="E10" s="290"/>
      <c r="F10" s="259" t="s">
        <v>23</v>
      </c>
      <c r="G10" s="260" t="s">
        <v>1079</v>
      </c>
      <c r="H10" s="261"/>
      <c r="I10" s="261" t="str">
        <f>IF(ISNUMBER(G10),E10*G10,"")</f>
        <v/>
      </c>
      <c r="J10" s="280"/>
      <c r="K10" s="18"/>
      <c r="L10" s="174">
        <v>480</v>
      </c>
    </row>
    <row r="11" spans="1:12" x14ac:dyDescent="0.25">
      <c r="A11" s="268"/>
      <c r="B11" s="292"/>
      <c r="C11" s="155"/>
      <c r="D11" s="155"/>
      <c r="E11" s="293"/>
      <c r="F11" s="294"/>
      <c r="G11" s="262" t="s">
        <v>1079</v>
      </c>
      <c r="H11" s="155"/>
      <c r="I11" s="257" t="str">
        <f>IF(ISNUMBER(G11),E11*G11,"")</f>
        <v/>
      </c>
      <c r="J11" s="281"/>
      <c r="K11" s="19"/>
      <c r="L11" s="174">
        <v>480</v>
      </c>
    </row>
    <row r="12" spans="1:12" x14ac:dyDescent="0.25">
      <c r="A12" s="268"/>
      <c r="B12" s="292"/>
      <c r="C12" s="105" t="s">
        <v>24</v>
      </c>
      <c r="D12" s="105" t="s">
        <v>21</v>
      </c>
      <c r="E12" s="250">
        <v>1</v>
      </c>
      <c r="F12" s="176" t="s">
        <v>23</v>
      </c>
      <c r="G12" s="257">
        <v>22.049499999999998</v>
      </c>
      <c r="H12" s="176" t="s">
        <v>23</v>
      </c>
      <c r="I12" s="258">
        <f>IF(ISNUMBER(G12),E12*G12,"")</f>
        <v>22.049499999999998</v>
      </c>
      <c r="J12" s="295">
        <f>SUM(I12:I12)</f>
        <v>22.049499999999998</v>
      </c>
      <c r="K12" s="29"/>
      <c r="L12" s="174">
        <v>480</v>
      </c>
    </row>
    <row r="13" spans="1:12" ht="15.75" thickBot="1" x14ac:dyDescent="0.3">
      <c r="A13" s="268"/>
      <c r="B13" s="292"/>
      <c r="C13" s="105"/>
      <c r="D13" s="105"/>
      <c r="E13" s="250"/>
      <c r="F13" s="176"/>
      <c r="G13" s="257" t="s">
        <v>1079</v>
      </c>
      <c r="H13" s="176"/>
      <c r="I13" s="257" t="str">
        <f>IF(ISNUMBER(G13),E13*G13,"")</f>
        <v/>
      </c>
      <c r="J13" s="281"/>
      <c r="K13" s="19"/>
      <c r="L13" s="174">
        <v>480</v>
      </c>
    </row>
    <row r="14" spans="1:12" ht="15.75" thickBot="1" x14ac:dyDescent="0.3">
      <c r="A14" s="288" t="s">
        <v>25</v>
      </c>
      <c r="B14" s="289" t="str">
        <f>INDEX(Orçamentária!A:B,MATCH(Composições!A14,Orçamentária!A:A,0),2)</f>
        <v>Planejamento físico-financeiro</v>
      </c>
      <c r="C14" s="274"/>
      <c r="D14" s="265" t="str">
        <f>TRIM(INDEX(Orçamentária!C:C,MATCH(Composições!A14,Orçamentária!A:A,0),1))</f>
        <v>un</v>
      </c>
      <c r="E14" s="290"/>
      <c r="F14" s="259" t="s">
        <v>17</v>
      </c>
      <c r="G14" s="260" t="s">
        <v>1079</v>
      </c>
      <c r="H14" s="261"/>
      <c r="I14" s="261" t="str">
        <f>IF(ISNUMBER(G14),E14*G14,"")</f>
        <v/>
      </c>
      <c r="J14" s="280"/>
      <c r="K14" s="18"/>
      <c r="L14" s="174">
        <v>1</v>
      </c>
    </row>
    <row r="15" spans="1:12" x14ac:dyDescent="0.25">
      <c r="A15" s="291"/>
      <c r="B15" s="292"/>
      <c r="C15" s="155"/>
      <c r="D15" s="155"/>
      <c r="E15" s="293"/>
      <c r="F15" s="294"/>
      <c r="G15" s="262" t="s">
        <v>1079</v>
      </c>
      <c r="H15" s="155"/>
      <c r="I15" s="257" t="str">
        <f>IF(ISNUMBER(G15),E15*G15,"")</f>
        <v/>
      </c>
      <c r="J15" s="281"/>
      <c r="K15" s="19"/>
      <c r="L15" s="174">
        <v>1</v>
      </c>
    </row>
    <row r="16" spans="1:12" x14ac:dyDescent="0.25">
      <c r="A16" s="291"/>
      <c r="B16" s="292"/>
      <c r="C16" s="105" t="s">
        <v>26</v>
      </c>
      <c r="D16" s="105" t="s">
        <v>21</v>
      </c>
      <c r="E16" s="250">
        <v>16</v>
      </c>
      <c r="F16" s="176" t="s">
        <v>17</v>
      </c>
      <c r="G16" s="257">
        <v>81.338999999999999</v>
      </c>
      <c r="H16" s="176" t="s">
        <v>27</v>
      </c>
      <c r="I16" s="257">
        <f>IF(ISNUMBER(G16),E16*G16,"")</f>
        <v>1301.424</v>
      </c>
      <c r="J16" s="295">
        <f>SUM(I16:I16)</f>
        <v>1301.424</v>
      </c>
      <c r="K16" s="29"/>
      <c r="L16" s="174">
        <v>1</v>
      </c>
    </row>
    <row r="17" spans="1:12" ht="15.75" thickBot="1" x14ac:dyDescent="0.3">
      <c r="A17" s="296"/>
      <c r="B17" s="297"/>
      <c r="C17" s="105"/>
      <c r="D17" s="105"/>
      <c r="E17" s="250"/>
      <c r="F17" s="176"/>
      <c r="G17" s="257" t="s">
        <v>1079</v>
      </c>
      <c r="H17" s="176"/>
      <c r="I17" s="257" t="str">
        <f>IF(ISNUMBER(G17),E17*G17,"")</f>
        <v/>
      </c>
      <c r="J17" s="281"/>
      <c r="K17" s="19"/>
      <c r="L17" s="174">
        <v>1</v>
      </c>
    </row>
    <row r="18" spans="1:12" ht="15.75" thickBot="1" x14ac:dyDescent="0.3">
      <c r="A18" s="288" t="s">
        <v>28</v>
      </c>
      <c r="B18" s="289" t="str">
        <f>INDEX(Orçamentária!A:B,MATCH(Composições!A18,Orçamentária!A:A,0),2)</f>
        <v>Projetos de segurança do trabalho</v>
      </c>
      <c r="C18" s="274"/>
      <c r="D18" s="265" t="str">
        <f>TRIM(INDEX(Orçamentária!C:C,MATCH(Composições!A18,Orçamentária!A:A,0),1))</f>
        <v>un</v>
      </c>
      <c r="E18" s="290"/>
      <c r="F18" s="259" t="s">
        <v>17</v>
      </c>
      <c r="G18" s="260" t="s">
        <v>1079</v>
      </c>
      <c r="H18" s="261"/>
      <c r="I18" s="261" t="str">
        <f>IF(ISNUMBER(G18),E18*G18,"")</f>
        <v/>
      </c>
      <c r="J18" s="280"/>
      <c r="K18" s="18"/>
      <c r="L18" s="174">
        <v>1</v>
      </c>
    </row>
    <row r="19" spans="1:12" x14ac:dyDescent="0.25">
      <c r="A19" s="291"/>
      <c r="B19" s="292"/>
      <c r="C19" s="155"/>
      <c r="D19" s="155"/>
      <c r="E19" s="293"/>
      <c r="F19" s="294"/>
      <c r="G19" s="262" t="s">
        <v>1079</v>
      </c>
      <c r="H19" s="155"/>
      <c r="I19" s="257" t="str">
        <f>IF(ISNUMBER(G19),E19*G19,"")</f>
        <v/>
      </c>
      <c r="J19" s="281"/>
      <c r="K19" s="19"/>
      <c r="L19" s="174">
        <v>1</v>
      </c>
    </row>
    <row r="20" spans="1:12" x14ac:dyDescent="0.25">
      <c r="A20" s="291"/>
      <c r="B20" s="292"/>
      <c r="C20" s="105" t="s">
        <v>29</v>
      </c>
      <c r="D20" s="105" t="s">
        <v>21</v>
      </c>
      <c r="E20" s="250">
        <v>20</v>
      </c>
      <c r="F20" s="176" t="s">
        <v>17</v>
      </c>
      <c r="G20" s="257">
        <v>81.614499999999992</v>
      </c>
      <c r="H20" s="176" t="s">
        <v>30</v>
      </c>
      <c r="I20" s="257">
        <f>IF(ISNUMBER(G20),E20*G20,"")</f>
        <v>1632.29</v>
      </c>
      <c r="J20" s="295">
        <f>SUM(I20:I21)</f>
        <v>1866.23</v>
      </c>
      <c r="K20" s="29"/>
      <c r="L20" s="174">
        <v>1</v>
      </c>
    </row>
    <row r="21" spans="1:12" x14ac:dyDescent="0.25">
      <c r="A21" s="291"/>
      <c r="B21" s="292"/>
      <c r="C21" s="105" t="s">
        <v>31</v>
      </c>
      <c r="D21" s="105" t="s">
        <v>32</v>
      </c>
      <c r="E21" s="250">
        <v>1</v>
      </c>
      <c r="F21" s="176" t="s">
        <v>17</v>
      </c>
      <c r="G21" s="258">
        <v>233.94</v>
      </c>
      <c r="H21" s="176" t="s">
        <v>33</v>
      </c>
      <c r="I21" s="257">
        <f>IF(ISNUMBER(G21),E21*G21,"")</f>
        <v>233.94</v>
      </c>
      <c r="J21" s="281"/>
      <c r="K21" s="19"/>
      <c r="L21" s="174">
        <v>1</v>
      </c>
    </row>
    <row r="22" spans="1:12" ht="15.75" thickBot="1" x14ac:dyDescent="0.3">
      <c r="A22" s="296"/>
      <c r="B22" s="297"/>
      <c r="C22" s="105"/>
      <c r="D22" s="105"/>
      <c r="E22" s="250"/>
      <c r="F22" s="176"/>
      <c r="G22" s="257" t="s">
        <v>1079</v>
      </c>
      <c r="H22" s="176"/>
      <c r="I22" s="257" t="str">
        <f>IF(ISNUMBER(G22),E22*G22,"")</f>
        <v/>
      </c>
      <c r="J22" s="281"/>
      <c r="K22" s="19"/>
      <c r="L22" s="174">
        <v>1</v>
      </c>
    </row>
    <row r="23" spans="1:12" ht="15.75" thickBot="1" x14ac:dyDescent="0.3">
      <c r="A23" s="288" t="s">
        <v>34</v>
      </c>
      <c r="B23" s="289" t="str">
        <f>INDEX(Orçamentária!A:B,MATCH(Composições!A23,Orçamentária!A:A,0),2)</f>
        <v>Demolição de alvenarias</v>
      </c>
      <c r="C23" s="274"/>
      <c r="D23" s="265" t="str">
        <f>TRIM(INDEX(Orçamentária!C:C,MATCH(Composições!A23,Orçamentária!A:A,0),1))</f>
        <v>m3</v>
      </c>
      <c r="E23" s="290"/>
      <c r="F23" s="259" t="s">
        <v>35</v>
      </c>
      <c r="G23" s="260" t="s">
        <v>1079</v>
      </c>
      <c r="H23" s="261"/>
      <c r="I23" s="261" t="str">
        <f>IF(ISNUMBER(G23),E23*G23,"")</f>
        <v/>
      </c>
      <c r="J23" s="280"/>
      <c r="K23" s="18"/>
      <c r="L23" s="174">
        <v>8.91</v>
      </c>
    </row>
    <row r="24" spans="1:12" x14ac:dyDescent="0.25">
      <c r="A24" s="291"/>
      <c r="B24" s="292"/>
      <c r="C24" s="155"/>
      <c r="D24" s="155"/>
      <c r="E24" s="293"/>
      <c r="F24" s="294"/>
      <c r="G24" s="262" t="s">
        <v>1079</v>
      </c>
      <c r="H24" s="155"/>
      <c r="I24" s="257" t="str">
        <f>IF(ISNUMBER(G24),E24*G24,"")</f>
        <v/>
      </c>
      <c r="J24" s="281"/>
      <c r="K24" s="19"/>
      <c r="L24" s="174">
        <v>8.91</v>
      </c>
    </row>
    <row r="25" spans="1:12" x14ac:dyDescent="0.25">
      <c r="A25" s="291"/>
      <c r="B25" s="292"/>
      <c r="C25" s="105" t="s">
        <v>36</v>
      </c>
      <c r="D25" s="105" t="s">
        <v>21</v>
      </c>
      <c r="E25" s="250">
        <v>0.22500000000000001</v>
      </c>
      <c r="F25" s="176" t="s">
        <v>35</v>
      </c>
      <c r="G25" s="257">
        <v>19.142499999999998</v>
      </c>
      <c r="H25" s="176" t="s">
        <v>37</v>
      </c>
      <c r="I25" s="258">
        <f>IF(ISNUMBER(G25),E25*G25,"")</f>
        <v>4.3070624999999998</v>
      </c>
      <c r="J25" s="295">
        <f>SUM(I25:I26)</f>
        <v>37.612147300000004</v>
      </c>
      <c r="K25" s="29"/>
      <c r="L25" s="174">
        <v>8.91</v>
      </c>
    </row>
    <row r="26" spans="1:12" x14ac:dyDescent="0.25">
      <c r="A26" s="291"/>
      <c r="B26" s="292"/>
      <c r="C26" s="105" t="s">
        <v>38</v>
      </c>
      <c r="D26" s="105" t="s">
        <v>21</v>
      </c>
      <c r="E26" s="250">
        <v>2.3248000000000002</v>
      </c>
      <c r="F26" s="176" t="s">
        <v>35</v>
      </c>
      <c r="G26" s="257">
        <v>14.325999999999999</v>
      </c>
      <c r="H26" s="176" t="s">
        <v>39</v>
      </c>
      <c r="I26" s="258">
        <f>IF(ISNUMBER(G26),E26*G26,"")</f>
        <v>33.305084800000003</v>
      </c>
      <c r="J26" s="299"/>
      <c r="K26" s="29"/>
      <c r="L26" s="174">
        <v>8.91</v>
      </c>
    </row>
    <row r="27" spans="1:12" ht="15.75" thickBot="1" x14ac:dyDescent="0.3">
      <c r="A27" s="296"/>
      <c r="B27" s="297"/>
      <c r="C27" s="105"/>
      <c r="D27" s="105"/>
      <c r="E27" s="250"/>
      <c r="F27" s="176"/>
      <c r="G27" s="257" t="s">
        <v>1079</v>
      </c>
      <c r="H27" s="176"/>
      <c r="I27" s="257" t="str">
        <f>IF(ISNUMBER(G27),E27*G27,"")</f>
        <v/>
      </c>
      <c r="J27" s="281"/>
      <c r="K27" s="19"/>
      <c r="L27" s="174">
        <v>8.91</v>
      </c>
    </row>
    <row r="28" spans="1:12" ht="15.75" thickBot="1" x14ac:dyDescent="0.3">
      <c r="A28" s="288" t="s">
        <v>40</v>
      </c>
      <c r="B28" s="289" t="str">
        <f>INDEX(Orçamentária!A:B,MATCH(Composições!A28,Orçamentária!A:A,0),2)</f>
        <v>Demolição de concreto simples</v>
      </c>
      <c r="C28" s="274"/>
      <c r="D28" s="265" t="str">
        <f>TRIM(INDEX(Orçamentária!C:C,MATCH(Composições!A28,Orçamentária!A:A,0),1))</f>
        <v>m3</v>
      </c>
      <c r="E28" s="290"/>
      <c r="F28" s="259" t="s">
        <v>41</v>
      </c>
      <c r="G28" s="260" t="s">
        <v>1079</v>
      </c>
      <c r="H28" s="261"/>
      <c r="I28" s="261" t="str">
        <f>IF(ISNUMBER(G28),E28*G28,"")</f>
        <v/>
      </c>
      <c r="J28" s="280"/>
      <c r="K28" s="18"/>
      <c r="L28" s="174">
        <v>5.65</v>
      </c>
    </row>
    <row r="29" spans="1:12" x14ac:dyDescent="0.25">
      <c r="A29" s="291"/>
      <c r="B29" s="292"/>
      <c r="C29" s="155"/>
      <c r="D29" s="155"/>
      <c r="E29" s="293"/>
      <c r="F29" s="294"/>
      <c r="G29" s="262" t="s">
        <v>1079</v>
      </c>
      <c r="H29" s="155"/>
      <c r="I29" s="257" t="str">
        <f>IF(ISNUMBER(G29),E29*G29,"")</f>
        <v/>
      </c>
      <c r="J29" s="281"/>
      <c r="K29" s="19"/>
      <c r="L29" s="174">
        <v>5.65</v>
      </c>
    </row>
    <row r="30" spans="1:12" x14ac:dyDescent="0.25">
      <c r="A30" s="291"/>
      <c r="B30" s="292"/>
      <c r="C30" s="105" t="s">
        <v>36</v>
      </c>
      <c r="D30" s="105" t="s">
        <v>21</v>
      </c>
      <c r="E30" s="250">
        <v>1.3</v>
      </c>
      <c r="F30" s="176" t="s">
        <v>42</v>
      </c>
      <c r="G30" s="257">
        <v>19.142499999999998</v>
      </c>
      <c r="H30" s="176" t="s">
        <v>37</v>
      </c>
      <c r="I30" s="258">
        <f>IF(ISNUMBER(G30),E30*G30,"")</f>
        <v>24.885249999999999</v>
      </c>
      <c r="J30" s="295">
        <f>SUM(I30:I31)</f>
        <v>211.12324999999998</v>
      </c>
      <c r="K30" s="29"/>
      <c r="L30" s="174">
        <v>5.65</v>
      </c>
    </row>
    <row r="31" spans="1:12" x14ac:dyDescent="0.25">
      <c r="A31" s="291"/>
      <c r="B31" s="292"/>
      <c r="C31" s="105" t="s">
        <v>38</v>
      </c>
      <c r="D31" s="105" t="s">
        <v>21</v>
      </c>
      <c r="E31" s="250">
        <v>13</v>
      </c>
      <c r="F31" s="176" t="s">
        <v>42</v>
      </c>
      <c r="G31" s="257">
        <v>14.325999999999999</v>
      </c>
      <c r="H31" s="176" t="s">
        <v>39</v>
      </c>
      <c r="I31" s="258">
        <f>IF(ISNUMBER(G31),E31*G31,"")</f>
        <v>186.23799999999997</v>
      </c>
      <c r="J31" s="281"/>
      <c r="K31" s="19"/>
      <c r="L31" s="174">
        <v>5.65</v>
      </c>
    </row>
    <row r="32" spans="1:12" ht="15.75" thickBot="1" x14ac:dyDescent="0.3">
      <c r="A32" s="296"/>
      <c r="B32" s="297"/>
      <c r="C32" s="105"/>
      <c r="D32" s="105"/>
      <c r="E32" s="250"/>
      <c r="F32" s="176"/>
      <c r="G32" s="257" t="s">
        <v>1079</v>
      </c>
      <c r="H32" s="176"/>
      <c r="I32" s="257" t="str">
        <f>IF(ISNUMBER(G32),E32*G32,"")</f>
        <v/>
      </c>
      <c r="J32" s="281"/>
      <c r="K32" s="19"/>
      <c r="L32" s="174">
        <v>5.65</v>
      </c>
    </row>
    <row r="33" spans="1:12" ht="15.75" thickBot="1" x14ac:dyDescent="0.3">
      <c r="A33" s="288" t="s">
        <v>43</v>
      </c>
      <c r="B33" s="289" t="str">
        <f>INDEX(Orçamentária!A:B,MATCH(Composições!A33,Orçamentária!A:A,0),2)</f>
        <v>Demolição de contrapiso</v>
      </c>
      <c r="C33" s="274"/>
      <c r="D33" s="265" t="str">
        <f>TRIM(INDEX(Orçamentária!C:C,MATCH(Composições!A33,Orçamentária!A:A,0),1))</f>
        <v>m2</v>
      </c>
      <c r="E33" s="290"/>
      <c r="F33" s="259" t="s">
        <v>44</v>
      </c>
      <c r="G33" s="260" t="s">
        <v>1079</v>
      </c>
      <c r="H33" s="261"/>
      <c r="I33" s="261" t="str">
        <f>IF(ISNUMBER(G33),E33*G33,"")</f>
        <v/>
      </c>
      <c r="J33" s="280"/>
      <c r="K33" s="18"/>
      <c r="L33" s="174">
        <v>18.059999999999999</v>
      </c>
    </row>
    <row r="34" spans="1:12" x14ac:dyDescent="0.25">
      <c r="A34" s="291"/>
      <c r="B34" s="292"/>
      <c r="C34" s="155"/>
      <c r="D34" s="155"/>
      <c r="E34" s="293"/>
      <c r="F34" s="294"/>
      <c r="G34" s="262" t="s">
        <v>1079</v>
      </c>
      <c r="H34" s="155"/>
      <c r="I34" s="257" t="str">
        <f>IF(ISNUMBER(G34),E34*G34,"")</f>
        <v/>
      </c>
      <c r="J34" s="281"/>
      <c r="K34" s="19"/>
      <c r="L34" s="174">
        <v>18.059999999999999</v>
      </c>
    </row>
    <row r="35" spans="1:12" x14ac:dyDescent="0.25">
      <c r="A35" s="291"/>
      <c r="B35" s="292"/>
      <c r="C35" s="105" t="s">
        <v>38</v>
      </c>
      <c r="D35" s="105" t="s">
        <v>21</v>
      </c>
      <c r="E35" s="250">
        <v>0.7</v>
      </c>
      <c r="F35" s="176" t="s">
        <v>45</v>
      </c>
      <c r="G35" s="257">
        <v>14.325999999999999</v>
      </c>
      <c r="H35" s="176" t="s">
        <v>39</v>
      </c>
      <c r="I35" s="258">
        <f>IF(ISNUMBER(G35),E35*G35,"")</f>
        <v>10.028199999999998</v>
      </c>
      <c r="J35" s="295">
        <f>SUM(I35:I35)</f>
        <v>10.028199999999998</v>
      </c>
      <c r="K35" s="29"/>
      <c r="L35" s="174">
        <v>18.059999999999999</v>
      </c>
    </row>
    <row r="36" spans="1:12" ht="15.75" thickBot="1" x14ac:dyDescent="0.3">
      <c r="A36" s="296"/>
      <c r="B36" s="297"/>
      <c r="C36" s="105"/>
      <c r="D36" s="105"/>
      <c r="E36" s="250"/>
      <c r="F36" s="176"/>
      <c r="G36" s="257" t="s">
        <v>1079</v>
      </c>
      <c r="H36" s="176"/>
      <c r="I36" s="257" t="str">
        <f>IF(ISNUMBER(G36),E36*G36,"")</f>
        <v/>
      </c>
      <c r="J36" s="281"/>
      <c r="K36" s="19"/>
      <c r="L36" s="174">
        <v>18.059999999999999</v>
      </c>
    </row>
    <row r="37" spans="1:12" ht="15.75" hidden="1" thickBot="1" x14ac:dyDescent="0.3">
      <c r="A37" s="180" t="s">
        <v>46</v>
      </c>
      <c r="B37" s="178" t="str">
        <f>INDEX(Orçamentária!A:B,MATCH(Composições!A37,Orçamentária!A:A,0),2)</f>
        <v>Demolição de fechamento ou parede em gesso acartonado</v>
      </c>
      <c r="C37" s="30"/>
      <c r="D37" s="13" t="str">
        <f>TRIM(INDEX(Orçamentária!C:C,MATCH(Composições!A37,Orçamentária!A:A,0),1))</f>
        <v>m2</v>
      </c>
      <c r="E37" s="14"/>
      <c r="F37" s="15" t="s">
        <v>47</v>
      </c>
      <c r="G37" s="31" t="s">
        <v>1079</v>
      </c>
      <c r="H37" s="16"/>
      <c r="I37" s="16" t="str">
        <f>IF(ISNUMBER(G37),E37*G37,"")</f>
        <v/>
      </c>
      <c r="J37" s="17"/>
      <c r="K37" s="18"/>
      <c r="L37" s="174">
        <v>0</v>
      </c>
    </row>
    <row r="38" spans="1:12" ht="15.75" hidden="1" thickBot="1" x14ac:dyDescent="0.3">
      <c r="A38" s="181"/>
      <c r="B38" s="179"/>
      <c r="C38" s="20"/>
      <c r="D38" s="20"/>
      <c r="E38" s="21"/>
      <c r="F38" s="22"/>
      <c r="G38" s="32" t="s">
        <v>1079</v>
      </c>
      <c r="H38" s="20"/>
      <c r="I38" s="19" t="str">
        <f>IF(ISNUMBER(G38),E38*G38,"")</f>
        <v/>
      </c>
      <c r="J38" s="24"/>
      <c r="K38" s="19"/>
      <c r="L38" s="174">
        <v>0</v>
      </c>
    </row>
    <row r="39" spans="1:12" ht="15.75" hidden="1" thickBot="1" x14ac:dyDescent="0.3">
      <c r="A39" s="181"/>
      <c r="B39" s="179"/>
      <c r="C39" s="25" t="s">
        <v>48</v>
      </c>
      <c r="D39" s="25" t="s">
        <v>21</v>
      </c>
      <c r="E39" s="26">
        <v>0.1186</v>
      </c>
      <c r="F39" s="27" t="s">
        <v>47</v>
      </c>
      <c r="G39" s="19">
        <v>14.715499999999999</v>
      </c>
      <c r="H39" s="27" t="s">
        <v>49</v>
      </c>
      <c r="I39" s="23">
        <f>IF(ISNUMBER(G39),E39*G39,"")</f>
        <v>1.7452582999999997</v>
      </c>
      <c r="J39" s="28">
        <f>SUM(I39:I40)</f>
        <v>5.081783699999999</v>
      </c>
      <c r="K39" s="29"/>
      <c r="L39" s="174">
        <v>0</v>
      </c>
    </row>
    <row r="40" spans="1:12" ht="15.75" hidden="1" thickBot="1" x14ac:dyDescent="0.3">
      <c r="A40" s="181"/>
      <c r="B40" s="179"/>
      <c r="C40" s="25" t="s">
        <v>38</v>
      </c>
      <c r="D40" s="25" t="s">
        <v>21</v>
      </c>
      <c r="E40" s="26">
        <v>0.2329</v>
      </c>
      <c r="F40" s="27" t="s">
        <v>47</v>
      </c>
      <c r="G40" s="19">
        <v>14.325999999999999</v>
      </c>
      <c r="H40" s="27" t="s">
        <v>39</v>
      </c>
      <c r="I40" s="23">
        <f>IF(ISNUMBER(G40),E40*G40,"")</f>
        <v>3.3365253999999998</v>
      </c>
      <c r="J40" s="34"/>
      <c r="K40" s="35"/>
      <c r="L40" s="174">
        <v>0</v>
      </c>
    </row>
    <row r="41" spans="1:12" ht="15.75" hidden="1" thickBot="1" x14ac:dyDescent="0.3">
      <c r="A41" s="182"/>
      <c r="B41" s="183"/>
      <c r="C41" s="25"/>
      <c r="D41" s="25"/>
      <c r="E41" s="26"/>
      <c r="F41" s="27"/>
      <c r="G41" s="19" t="s">
        <v>1079</v>
      </c>
      <c r="H41" s="27"/>
      <c r="I41" s="19" t="str">
        <f>IF(ISNUMBER(G41),E41*G41,"")</f>
        <v/>
      </c>
      <c r="J41" s="24"/>
      <c r="K41" s="19"/>
      <c r="L41" s="174">
        <v>0</v>
      </c>
    </row>
    <row r="42" spans="1:12" ht="15.75" thickBot="1" x14ac:dyDescent="0.3">
      <c r="A42" s="288" t="s">
        <v>50</v>
      </c>
      <c r="B42" s="289" t="str">
        <f>INDEX(Orçamentária!A:B,MATCH(Composições!A42,Orçamentária!A:A,0),2)</f>
        <v>Demolição de forro de gesso</v>
      </c>
      <c r="C42" s="274"/>
      <c r="D42" s="265" t="str">
        <f>TRIM(INDEX(Orçamentária!C:C,MATCH(Composições!A42,Orçamentária!A:A,0),1))</f>
        <v>m2</v>
      </c>
      <c r="E42" s="290"/>
      <c r="F42" s="259" t="s">
        <v>51</v>
      </c>
      <c r="G42" s="260" t="s">
        <v>1079</v>
      </c>
      <c r="H42" s="261"/>
      <c r="I42" s="261" t="str">
        <f>IF(ISNUMBER(G42),E42*G42,"")</f>
        <v/>
      </c>
      <c r="J42" s="280"/>
      <c r="K42" s="18"/>
      <c r="L42" s="174">
        <v>64</v>
      </c>
    </row>
    <row r="43" spans="1:12" x14ac:dyDescent="0.25">
      <c r="A43" s="291"/>
      <c r="B43" s="292"/>
      <c r="C43" s="155"/>
      <c r="D43" s="155"/>
      <c r="E43" s="293"/>
      <c r="F43" s="294"/>
      <c r="G43" s="262" t="s">
        <v>1079</v>
      </c>
      <c r="H43" s="155"/>
      <c r="I43" s="257" t="str">
        <f>IF(ISNUMBER(G43),E43*G43,"")</f>
        <v/>
      </c>
      <c r="J43" s="281"/>
      <c r="K43" s="19"/>
      <c r="L43" s="174">
        <v>64</v>
      </c>
    </row>
    <row r="44" spans="1:12" x14ac:dyDescent="0.25">
      <c r="A44" s="291"/>
      <c r="B44" s="292"/>
      <c r="C44" s="105" t="s">
        <v>48</v>
      </c>
      <c r="D44" s="105" t="s">
        <v>21</v>
      </c>
      <c r="E44" s="250">
        <v>2.58E-2</v>
      </c>
      <c r="F44" s="176" t="s">
        <v>51</v>
      </c>
      <c r="G44" s="257">
        <v>14.715499999999999</v>
      </c>
      <c r="H44" s="176" t="s">
        <v>49</v>
      </c>
      <c r="I44" s="258">
        <f>IF(ISNUMBER(G44),E44*G44,"")</f>
        <v>0.37965989999999994</v>
      </c>
      <c r="J44" s="295">
        <f>SUM(I44:I45)</f>
        <v>1.1059880999999998</v>
      </c>
      <c r="K44" s="29"/>
      <c r="L44" s="174">
        <v>64</v>
      </c>
    </row>
    <row r="45" spans="1:12" x14ac:dyDescent="0.25">
      <c r="A45" s="291"/>
      <c r="B45" s="292"/>
      <c r="C45" s="105" t="s">
        <v>38</v>
      </c>
      <c r="D45" s="105" t="s">
        <v>21</v>
      </c>
      <c r="E45" s="250">
        <v>5.0700000000000002E-2</v>
      </c>
      <c r="F45" s="176" t="s">
        <v>51</v>
      </c>
      <c r="G45" s="257">
        <v>14.325999999999999</v>
      </c>
      <c r="H45" s="176" t="s">
        <v>39</v>
      </c>
      <c r="I45" s="258">
        <f>IF(ISNUMBER(G45),E45*G45,"")</f>
        <v>0.72632819999999998</v>
      </c>
      <c r="J45" s="281"/>
      <c r="K45" s="19"/>
      <c r="L45" s="174">
        <v>64</v>
      </c>
    </row>
    <row r="46" spans="1:12" ht="15.75" thickBot="1" x14ac:dyDescent="0.3">
      <c r="A46" s="296"/>
      <c r="B46" s="297"/>
      <c r="C46" s="105"/>
      <c r="D46" s="105"/>
      <c r="E46" s="250"/>
      <c r="F46" s="176"/>
      <c r="G46" s="257" t="s">
        <v>1079</v>
      </c>
      <c r="H46" s="176"/>
      <c r="I46" s="257" t="str">
        <f>IF(ISNUMBER(G46),E46*G46,"")</f>
        <v/>
      </c>
      <c r="J46" s="281"/>
      <c r="K46" s="19"/>
      <c r="L46" s="174">
        <v>64</v>
      </c>
    </row>
    <row r="47" spans="1:12" ht="15.75" thickBot="1" x14ac:dyDescent="0.3">
      <c r="A47" s="288" t="s">
        <v>52</v>
      </c>
      <c r="B47" s="289" t="str">
        <f>INDEX(Orçamentária!A:B,MATCH(Composições!A47,Orçamentária!A:A,0),2)</f>
        <v>Demolição de infraestrutura elétrica (eletrodutos, eletrocalhas, cabos)</v>
      </c>
      <c r="C47" s="274"/>
      <c r="D47" s="265" t="str">
        <f>TRIM(INDEX(Orçamentária!C:C,MATCH(Composições!A47,Orçamentária!A:A,0),1))</f>
        <v>m</v>
      </c>
      <c r="E47" s="290"/>
      <c r="F47" s="259" t="s">
        <v>53</v>
      </c>
      <c r="G47" s="260" t="s">
        <v>1079</v>
      </c>
      <c r="H47" s="261"/>
      <c r="I47" s="261" t="str">
        <f>IF(ISNUMBER(G47),E47*G47,"")</f>
        <v/>
      </c>
      <c r="J47" s="280"/>
      <c r="K47" s="18"/>
      <c r="L47" s="174">
        <v>57</v>
      </c>
    </row>
    <row r="48" spans="1:12" x14ac:dyDescent="0.25">
      <c r="A48" s="291"/>
      <c r="B48" s="292"/>
      <c r="C48" s="155"/>
      <c r="D48" s="155"/>
      <c r="E48" s="293"/>
      <c r="F48" s="294"/>
      <c r="G48" s="262" t="s">
        <v>1079</v>
      </c>
      <c r="H48" s="155"/>
      <c r="I48" s="257" t="str">
        <f>IF(ISNUMBER(G48),E48*G48,"")</f>
        <v/>
      </c>
      <c r="J48" s="281"/>
      <c r="K48" s="19"/>
      <c r="L48" s="174">
        <v>57</v>
      </c>
    </row>
    <row r="49" spans="1:12" x14ac:dyDescent="0.25">
      <c r="A49" s="291"/>
      <c r="B49" s="292"/>
      <c r="C49" s="105" t="s">
        <v>54</v>
      </c>
      <c r="D49" s="105" t="s">
        <v>21</v>
      </c>
      <c r="E49" s="250">
        <f>ROUND(0.0096*5,4)</f>
        <v>4.8000000000000001E-2</v>
      </c>
      <c r="F49" s="176" t="s">
        <v>53</v>
      </c>
      <c r="G49" s="257">
        <v>19.313499999999998</v>
      </c>
      <c r="H49" s="176" t="s">
        <v>55</v>
      </c>
      <c r="I49" s="258">
        <f>IF(ISNUMBER(G49),E49*G49,"")</f>
        <v>0.92704799999999987</v>
      </c>
      <c r="J49" s="295">
        <f>SUM(I49:I50)</f>
        <v>2.2736919999999996</v>
      </c>
      <c r="K49" s="29"/>
      <c r="L49" s="174">
        <v>57</v>
      </c>
    </row>
    <row r="50" spans="1:12" x14ac:dyDescent="0.25">
      <c r="A50" s="291"/>
      <c r="B50" s="292"/>
      <c r="C50" s="105" t="s">
        <v>38</v>
      </c>
      <c r="D50" s="105" t="s">
        <v>21</v>
      </c>
      <c r="E50" s="250">
        <f>ROUND(0.0188*5,4)</f>
        <v>9.4E-2</v>
      </c>
      <c r="F50" s="176" t="s">
        <v>53</v>
      </c>
      <c r="G50" s="257">
        <v>14.325999999999999</v>
      </c>
      <c r="H50" s="176" t="s">
        <v>39</v>
      </c>
      <c r="I50" s="258">
        <f>IF(ISNUMBER(G50),E50*G50,"")</f>
        <v>1.346644</v>
      </c>
      <c r="J50" s="281"/>
      <c r="K50" s="19"/>
      <c r="L50" s="174">
        <v>57</v>
      </c>
    </row>
    <row r="51" spans="1:12" ht="15.75" thickBot="1" x14ac:dyDescent="0.3">
      <c r="A51" s="296"/>
      <c r="B51" s="297"/>
      <c r="C51" s="105"/>
      <c r="D51" s="105"/>
      <c r="E51" s="250"/>
      <c r="F51" s="176"/>
      <c r="G51" s="257" t="s">
        <v>1079</v>
      </c>
      <c r="H51" s="176"/>
      <c r="I51" s="257" t="str">
        <f>IF(ISNUMBER(G51),E51*G51,"")</f>
        <v/>
      </c>
      <c r="J51" s="281"/>
      <c r="K51" s="19"/>
      <c r="L51" s="174">
        <v>57</v>
      </c>
    </row>
    <row r="52" spans="1:12" ht="15.75" thickBot="1" x14ac:dyDescent="0.3">
      <c r="A52" s="288" t="s">
        <v>56</v>
      </c>
      <c r="B52" s="289" t="str">
        <f>INDEX(Orçamentária!A:B,MATCH(Composições!A52,Orçamentária!A:A,0),2)</f>
        <v>Demolição de revestimento cerâmico, granito, mármore ou granitina</v>
      </c>
      <c r="C52" s="274"/>
      <c r="D52" s="265" t="str">
        <f>TRIM(INDEX(Orçamentária!C:C,MATCH(Composições!A52,Orçamentária!A:A,0),1))</f>
        <v>m2</v>
      </c>
      <c r="E52" s="290"/>
      <c r="F52" s="259" t="s">
        <v>57</v>
      </c>
      <c r="G52" s="260" t="s">
        <v>1079</v>
      </c>
      <c r="H52" s="261"/>
      <c r="I52" s="261" t="str">
        <f>IF(ISNUMBER(G52),E52*G52,"")</f>
        <v/>
      </c>
      <c r="J52" s="280"/>
      <c r="K52" s="18"/>
      <c r="L52" s="174">
        <v>40.15</v>
      </c>
    </row>
    <row r="53" spans="1:12" x14ac:dyDescent="0.25">
      <c r="A53" s="291"/>
      <c r="B53" s="292"/>
      <c r="C53" s="155"/>
      <c r="D53" s="155"/>
      <c r="E53" s="293"/>
      <c r="F53" s="294"/>
      <c r="G53" s="262" t="s">
        <v>1079</v>
      </c>
      <c r="H53" s="155"/>
      <c r="I53" s="257" t="str">
        <f>IF(ISNUMBER(G53),E53*G53,"")</f>
        <v/>
      </c>
      <c r="J53" s="281"/>
      <c r="K53" s="19"/>
      <c r="L53" s="174">
        <v>40.15</v>
      </c>
    </row>
    <row r="54" spans="1:12" ht="25.5" x14ac:dyDescent="0.25">
      <c r="A54" s="291"/>
      <c r="B54" s="292"/>
      <c r="C54" s="105" t="s">
        <v>58</v>
      </c>
      <c r="D54" s="105" t="s">
        <v>59</v>
      </c>
      <c r="E54" s="250">
        <v>6.9900000000000004E-2</v>
      </c>
      <c r="F54" s="176" t="s">
        <v>57</v>
      </c>
      <c r="G54" s="258">
        <v>17.793499999999998</v>
      </c>
      <c r="H54" s="176" t="s">
        <v>60</v>
      </c>
      <c r="I54" s="258">
        <f>IF(ISNUMBER(G54),E54*G54,"")</f>
        <v>1.2437656499999998</v>
      </c>
      <c r="J54" s="295">
        <f>SUM(I54:I57)</f>
        <v>8.3094296000000014</v>
      </c>
      <c r="K54" s="29"/>
      <c r="L54" s="174">
        <v>40.15</v>
      </c>
    </row>
    <row r="55" spans="1:12" ht="25.5" x14ac:dyDescent="0.25">
      <c r="A55" s="291"/>
      <c r="B55" s="292"/>
      <c r="C55" s="105" t="s">
        <v>61</v>
      </c>
      <c r="D55" s="105" t="s">
        <v>62</v>
      </c>
      <c r="E55" s="250">
        <v>4.82E-2</v>
      </c>
      <c r="F55" s="176" t="s">
        <v>57</v>
      </c>
      <c r="G55" s="258">
        <v>16.482500000000002</v>
      </c>
      <c r="H55" s="176" t="s">
        <v>63</v>
      </c>
      <c r="I55" s="258">
        <f>IF(ISNUMBER(G55),E55*G55,"")</f>
        <v>0.79445650000000012</v>
      </c>
      <c r="J55" s="281"/>
      <c r="K55" s="19"/>
      <c r="L55" s="174">
        <v>40.15</v>
      </c>
    </row>
    <row r="56" spans="1:12" x14ac:dyDescent="0.25">
      <c r="A56" s="291"/>
      <c r="B56" s="292"/>
      <c r="C56" s="105" t="s">
        <v>64</v>
      </c>
      <c r="D56" s="105" t="s">
        <v>21</v>
      </c>
      <c r="E56" s="250">
        <v>0.1055</v>
      </c>
      <c r="F56" s="176" t="s">
        <v>57</v>
      </c>
      <c r="G56" s="257">
        <v>19.0855</v>
      </c>
      <c r="H56" s="176" t="s">
        <v>65</v>
      </c>
      <c r="I56" s="258">
        <f>IF(ISNUMBER(G56),E56*G56,"")</f>
        <v>2.01352025</v>
      </c>
      <c r="J56" s="281"/>
      <c r="K56" s="19"/>
      <c r="L56" s="174">
        <v>40.15</v>
      </c>
    </row>
    <row r="57" spans="1:12" x14ac:dyDescent="0.25">
      <c r="A57" s="291"/>
      <c r="B57" s="292"/>
      <c r="C57" s="105" t="s">
        <v>38</v>
      </c>
      <c r="D57" s="105" t="s">
        <v>21</v>
      </c>
      <c r="E57" s="250">
        <v>0.29720000000000002</v>
      </c>
      <c r="F57" s="176" t="s">
        <v>57</v>
      </c>
      <c r="G57" s="257">
        <v>14.325999999999999</v>
      </c>
      <c r="H57" s="176" t="s">
        <v>39</v>
      </c>
      <c r="I57" s="258">
        <f>IF(ISNUMBER(G57),E57*G57,"")</f>
        <v>4.2576872000000003</v>
      </c>
      <c r="J57" s="281"/>
      <c r="K57" s="19"/>
      <c r="L57" s="174">
        <v>40.15</v>
      </c>
    </row>
    <row r="58" spans="1:12" ht="15.75" thickBot="1" x14ac:dyDescent="0.3">
      <c r="A58" s="296"/>
      <c r="B58" s="297"/>
      <c r="C58" s="105"/>
      <c r="D58" s="105"/>
      <c r="E58" s="250"/>
      <c r="F58" s="176"/>
      <c r="G58" s="257" t="s">
        <v>1079</v>
      </c>
      <c r="H58" s="176"/>
      <c r="I58" s="257" t="str">
        <f>IF(ISNUMBER(G58),E58*G58,"")</f>
        <v/>
      </c>
      <c r="J58" s="281"/>
      <c r="K58" s="19"/>
      <c r="L58" s="174">
        <v>40.15</v>
      </c>
    </row>
    <row r="59" spans="1:12" ht="15.75" hidden="1" thickBot="1" x14ac:dyDescent="0.3">
      <c r="A59" s="180" t="s">
        <v>66</v>
      </c>
      <c r="B59" s="178" t="str">
        <f>INDEX(Orçamentária!A:B,MATCH(Composições!A59,Orçamentária!A:A,0),2)</f>
        <v>Demolição de revestimento em argamassa</v>
      </c>
      <c r="C59" s="30"/>
      <c r="D59" s="13" t="str">
        <f>TRIM(INDEX(Orçamentária!C:C,MATCH(Composições!A59,Orçamentária!A:A,0),1))</f>
        <v>m2</v>
      </c>
      <c r="E59" s="14"/>
      <c r="F59" s="15" t="s">
        <v>67</v>
      </c>
      <c r="G59" s="31" t="s">
        <v>1079</v>
      </c>
      <c r="H59" s="16"/>
      <c r="I59" s="16" t="str">
        <f>IF(ISNUMBER(G59),E59*G59,"")</f>
        <v/>
      </c>
      <c r="J59" s="17"/>
      <c r="K59" s="18"/>
      <c r="L59" s="174">
        <v>0</v>
      </c>
    </row>
    <row r="60" spans="1:12" ht="15.75" hidden="1" thickBot="1" x14ac:dyDescent="0.3">
      <c r="A60" s="181"/>
      <c r="B60" s="179"/>
      <c r="C60" s="20"/>
      <c r="D60" s="20"/>
      <c r="E60" s="21"/>
      <c r="F60" s="22"/>
      <c r="G60" s="32" t="s">
        <v>1079</v>
      </c>
      <c r="H60" s="20"/>
      <c r="I60" s="19" t="str">
        <f>IF(ISNUMBER(G60),E60*G60,"")</f>
        <v/>
      </c>
      <c r="J60" s="24"/>
      <c r="K60" s="19"/>
      <c r="L60" s="174">
        <v>0</v>
      </c>
    </row>
    <row r="61" spans="1:12" ht="15.75" hidden="1" thickBot="1" x14ac:dyDescent="0.3">
      <c r="A61" s="181"/>
      <c r="B61" s="179"/>
      <c r="C61" s="25" t="s">
        <v>36</v>
      </c>
      <c r="D61" s="25" t="s">
        <v>21</v>
      </c>
      <c r="E61" s="26">
        <v>3.7400000000000003E-2</v>
      </c>
      <c r="F61" s="27" t="s">
        <v>67</v>
      </c>
      <c r="G61" s="19">
        <v>19.142499999999998</v>
      </c>
      <c r="H61" s="27" t="s">
        <v>37</v>
      </c>
      <c r="I61" s="23">
        <f>IF(ISNUMBER(G61),E61*G61,"")</f>
        <v>0.7159295</v>
      </c>
      <c r="J61" s="28">
        <f>SUM(I61:I62)</f>
        <v>2.2244573000000001</v>
      </c>
      <c r="K61" s="29"/>
      <c r="L61" s="174">
        <v>0</v>
      </c>
    </row>
    <row r="62" spans="1:12" ht="15.75" hidden="1" thickBot="1" x14ac:dyDescent="0.3">
      <c r="A62" s="181"/>
      <c r="B62" s="179"/>
      <c r="C62" s="25" t="s">
        <v>38</v>
      </c>
      <c r="D62" s="25" t="s">
        <v>21</v>
      </c>
      <c r="E62" s="26">
        <v>0.1053</v>
      </c>
      <c r="F62" s="27" t="s">
        <v>67</v>
      </c>
      <c r="G62" s="19">
        <v>14.325999999999999</v>
      </c>
      <c r="H62" s="27" t="s">
        <v>39</v>
      </c>
      <c r="I62" s="23">
        <f>IF(ISNUMBER(G62),E62*G62,"")</f>
        <v>1.5085278</v>
      </c>
      <c r="J62" s="24"/>
      <c r="K62" s="19"/>
      <c r="L62" s="174">
        <v>0</v>
      </c>
    </row>
    <row r="63" spans="1:12" ht="15.75" hidden="1" thickBot="1" x14ac:dyDescent="0.3">
      <c r="A63" s="182"/>
      <c r="B63" s="183"/>
      <c r="C63" s="25"/>
      <c r="D63" s="25"/>
      <c r="E63" s="26"/>
      <c r="F63" s="27"/>
      <c r="G63" s="19" t="s">
        <v>1079</v>
      </c>
      <c r="H63" s="27"/>
      <c r="I63" s="19" t="str">
        <f>IF(ISNUMBER(G63),E63*G63,"")</f>
        <v/>
      </c>
      <c r="J63" s="24"/>
      <c r="K63" s="19"/>
      <c r="L63" s="174">
        <v>0</v>
      </c>
    </row>
    <row r="64" spans="1:12" ht="15.75" thickBot="1" x14ac:dyDescent="0.3">
      <c r="A64" s="288" t="s">
        <v>68</v>
      </c>
      <c r="B64" s="289" t="str">
        <f>INDEX(Orçamentária!A:B,MATCH(Composições!A64,Orçamentária!A:A,0),2)</f>
        <v>Demolição de tubulação hidrossanitária embutida com conexões e acessórios</v>
      </c>
      <c r="C64" s="274"/>
      <c r="D64" s="265" t="str">
        <f>TRIM(INDEX(Orçamentária!C:C,MATCH(Composições!A64,Orçamentária!A:A,0),1))</f>
        <v>m</v>
      </c>
      <c r="E64" s="290"/>
      <c r="F64" s="259" t="s">
        <v>69</v>
      </c>
      <c r="G64" s="260" t="s">
        <v>1079</v>
      </c>
      <c r="H64" s="261"/>
      <c r="I64" s="261" t="str">
        <f>IF(ISNUMBER(G64),E64*G64,"")</f>
        <v/>
      </c>
      <c r="J64" s="280"/>
      <c r="K64" s="18"/>
      <c r="L64" s="174">
        <v>14</v>
      </c>
    </row>
    <row r="65" spans="1:12" x14ac:dyDescent="0.25">
      <c r="A65" s="291"/>
      <c r="B65" s="292"/>
      <c r="C65" s="155"/>
      <c r="D65" s="155"/>
      <c r="E65" s="293"/>
      <c r="F65" s="294"/>
      <c r="G65" s="262" t="s">
        <v>1079</v>
      </c>
      <c r="H65" s="155"/>
      <c r="I65" s="257" t="str">
        <f>IF(ISNUMBER(G65),E65*G65,"")</f>
        <v/>
      </c>
      <c r="J65" s="281"/>
      <c r="K65" s="19"/>
      <c r="L65" s="174">
        <v>14</v>
      </c>
    </row>
    <row r="66" spans="1:12" x14ac:dyDescent="0.25">
      <c r="A66" s="291"/>
      <c r="B66" s="292"/>
      <c r="C66" s="105" t="s">
        <v>70</v>
      </c>
      <c r="D66" s="271" t="s">
        <v>21</v>
      </c>
      <c r="E66" s="250">
        <v>7.1000000000000004E-3</v>
      </c>
      <c r="F66" s="176" t="s">
        <v>69</v>
      </c>
      <c r="G66" s="257">
        <v>18.743500000000001</v>
      </c>
      <c r="H66" s="176" t="s">
        <v>71</v>
      </c>
      <c r="I66" s="258">
        <f>IF(ISNUMBER(G66),E66*G66,"")</f>
        <v>0.13307885000000003</v>
      </c>
      <c r="J66" s="295">
        <f>SUM(I66:I67)</f>
        <v>0.33364285000000005</v>
      </c>
      <c r="K66" s="29"/>
      <c r="L66" s="174">
        <v>14</v>
      </c>
    </row>
    <row r="67" spans="1:12" x14ac:dyDescent="0.25">
      <c r="A67" s="291"/>
      <c r="B67" s="292"/>
      <c r="C67" s="105" t="s">
        <v>38</v>
      </c>
      <c r="D67" s="271" t="s">
        <v>21</v>
      </c>
      <c r="E67" s="250">
        <v>1.4E-2</v>
      </c>
      <c r="F67" s="176" t="s">
        <v>69</v>
      </c>
      <c r="G67" s="257">
        <v>14.325999999999999</v>
      </c>
      <c r="H67" s="176" t="s">
        <v>39</v>
      </c>
      <c r="I67" s="258">
        <f>IF(ISNUMBER(G67),E67*G67,"")</f>
        <v>0.20056399999999999</v>
      </c>
      <c r="J67" s="281"/>
      <c r="K67" s="19"/>
      <c r="L67" s="174">
        <v>14</v>
      </c>
    </row>
    <row r="68" spans="1:12" ht="15.75" thickBot="1" x14ac:dyDescent="0.3">
      <c r="A68" s="296"/>
      <c r="B68" s="297"/>
      <c r="C68" s="105"/>
      <c r="D68" s="105"/>
      <c r="E68" s="250"/>
      <c r="F68" s="176"/>
      <c r="G68" s="257" t="s">
        <v>1079</v>
      </c>
      <c r="H68" s="176"/>
      <c r="I68" s="257" t="str">
        <f>IF(ISNUMBER(G68),E68*G68,"")</f>
        <v/>
      </c>
      <c r="J68" s="281"/>
      <c r="K68" s="19"/>
      <c r="L68" s="174">
        <v>14</v>
      </c>
    </row>
    <row r="69" spans="1:12" ht="15.75" hidden="1" thickBot="1" x14ac:dyDescent="0.3">
      <c r="A69" s="180" t="s">
        <v>72</v>
      </c>
      <c r="B69" s="178" t="str">
        <f>INDEX(Orçamentária!A:B,MATCH(Composições!A69,Orçamentária!A:A,0),2)</f>
        <v>Demolição em concreto armado</v>
      </c>
      <c r="C69" s="30"/>
      <c r="D69" s="13" t="str">
        <f>TRIM(INDEX(Orçamentária!C:C,MATCH(Composições!A69,Orçamentária!A:A,0),1))</f>
        <v>m3</v>
      </c>
      <c r="E69" s="14"/>
      <c r="F69" s="15" t="s">
        <v>73</v>
      </c>
      <c r="G69" s="31" t="s">
        <v>1079</v>
      </c>
      <c r="H69" s="16"/>
      <c r="I69" s="16" t="str">
        <f>IF(ISNUMBER(G69),E69*G69,"")</f>
        <v/>
      </c>
      <c r="J69" s="17"/>
      <c r="K69" s="18"/>
      <c r="L69" s="174">
        <v>0</v>
      </c>
    </row>
    <row r="70" spans="1:12" ht="15.75" hidden="1" thickBot="1" x14ac:dyDescent="0.3">
      <c r="A70" s="181"/>
      <c r="B70" s="179"/>
      <c r="C70" s="20"/>
      <c r="D70" s="20"/>
      <c r="E70" s="21"/>
      <c r="F70" s="22"/>
      <c r="G70" s="32" t="s">
        <v>1079</v>
      </c>
      <c r="H70" s="20"/>
      <c r="I70" s="19" t="str">
        <f>IF(ISNUMBER(G70),E70*G70,"")</f>
        <v/>
      </c>
      <c r="J70" s="24"/>
      <c r="K70" s="19"/>
      <c r="L70" s="174">
        <v>0</v>
      </c>
    </row>
    <row r="71" spans="1:12" ht="26.25" hidden="1" thickBot="1" x14ac:dyDescent="0.3">
      <c r="A71" s="181"/>
      <c r="B71" s="179"/>
      <c r="C71" s="25" t="s">
        <v>58</v>
      </c>
      <c r="D71" s="25" t="s">
        <v>59</v>
      </c>
      <c r="E71" s="26">
        <v>3.2467999999999999</v>
      </c>
      <c r="F71" s="27" t="s">
        <v>73</v>
      </c>
      <c r="G71" s="23">
        <v>17.793499999999998</v>
      </c>
      <c r="H71" s="27" t="s">
        <v>60</v>
      </c>
      <c r="I71" s="23">
        <f>IF(ISNUMBER(G71),E71*G71,"")</f>
        <v>57.771935799999994</v>
      </c>
      <c r="J71" s="28">
        <f>SUM(I71:I75)</f>
        <v>190.51350729999999</v>
      </c>
      <c r="K71" s="29"/>
      <c r="L71" s="174">
        <v>0</v>
      </c>
    </row>
    <row r="72" spans="1:12" ht="26.25" hidden="1" thickBot="1" x14ac:dyDescent="0.3">
      <c r="A72" s="181"/>
      <c r="B72" s="179"/>
      <c r="C72" s="25" t="s">
        <v>61</v>
      </c>
      <c r="D72" s="25" t="s">
        <v>62</v>
      </c>
      <c r="E72" s="26">
        <v>0.92020000000000002</v>
      </c>
      <c r="F72" s="27" t="s">
        <v>73</v>
      </c>
      <c r="G72" s="23">
        <v>16.482500000000002</v>
      </c>
      <c r="H72" s="27" t="s">
        <v>63</v>
      </c>
      <c r="I72" s="23">
        <f>IF(ISNUMBER(G72),E72*G72,"")</f>
        <v>15.167196500000001</v>
      </c>
      <c r="J72" s="24"/>
      <c r="K72" s="19"/>
      <c r="L72" s="174">
        <v>0</v>
      </c>
    </row>
    <row r="73" spans="1:12" ht="26.25" hidden="1" thickBot="1" x14ac:dyDescent="0.3">
      <c r="A73" s="181"/>
      <c r="B73" s="179"/>
      <c r="C73" s="25" t="s">
        <v>74</v>
      </c>
      <c r="D73" s="25" t="s">
        <v>75</v>
      </c>
      <c r="E73" s="26">
        <v>0.28349999999999997</v>
      </c>
      <c r="F73" s="27" t="s">
        <v>73</v>
      </c>
      <c r="G73" s="23">
        <v>39.311</v>
      </c>
      <c r="H73" s="27" t="s">
        <v>76</v>
      </c>
      <c r="I73" s="19">
        <f>IF(ISNUMBER(G73),E73*G73,"")</f>
        <v>11.144668499999998</v>
      </c>
      <c r="J73" s="24"/>
      <c r="K73" s="19"/>
      <c r="L73" s="174">
        <v>0</v>
      </c>
    </row>
    <row r="74" spans="1:12" ht="15.75" hidden="1" thickBot="1" x14ac:dyDescent="0.3">
      <c r="A74" s="181"/>
      <c r="B74" s="179"/>
      <c r="C74" s="25" t="s">
        <v>36</v>
      </c>
      <c r="D74" s="25" t="s">
        <v>21</v>
      </c>
      <c r="E74" s="26">
        <v>0.63660000000000005</v>
      </c>
      <c r="F74" s="27" t="s">
        <v>73</v>
      </c>
      <c r="G74" s="19">
        <v>19.142499999999998</v>
      </c>
      <c r="H74" s="27" t="s">
        <v>37</v>
      </c>
      <c r="I74" s="23">
        <f>IF(ISNUMBER(G74),E74*G74,"")</f>
        <v>12.1861155</v>
      </c>
      <c r="J74" s="24"/>
      <c r="K74" s="19"/>
      <c r="L74" s="174">
        <v>0</v>
      </c>
    </row>
    <row r="75" spans="1:12" ht="15.75" hidden="1" thickBot="1" x14ac:dyDescent="0.3">
      <c r="A75" s="181"/>
      <c r="B75" s="179"/>
      <c r="C75" s="25" t="s">
        <v>38</v>
      </c>
      <c r="D75" s="25" t="s">
        <v>21</v>
      </c>
      <c r="E75" s="26">
        <v>6.5785</v>
      </c>
      <c r="F75" s="27" t="s">
        <v>73</v>
      </c>
      <c r="G75" s="19">
        <v>14.325999999999999</v>
      </c>
      <c r="H75" s="27" t="s">
        <v>39</v>
      </c>
      <c r="I75" s="23">
        <f>IF(ISNUMBER(G75),E75*G75,"")</f>
        <v>94.243590999999995</v>
      </c>
      <c r="J75" s="24"/>
      <c r="K75" s="19"/>
      <c r="L75" s="174">
        <v>0</v>
      </c>
    </row>
    <row r="76" spans="1:12" ht="15.75" hidden="1" thickBot="1" x14ac:dyDescent="0.3">
      <c r="A76" s="182"/>
      <c r="B76" s="183"/>
      <c r="C76" s="25"/>
      <c r="D76" s="25"/>
      <c r="E76" s="26"/>
      <c r="F76" s="27"/>
      <c r="G76" s="19" t="s">
        <v>1079</v>
      </c>
      <c r="H76" s="27"/>
      <c r="I76" s="19" t="str">
        <f>IF(ISNUMBER(G76),E76*G76,"")</f>
        <v/>
      </c>
      <c r="J76" s="24"/>
      <c r="K76" s="19"/>
      <c r="L76" s="174">
        <v>0</v>
      </c>
    </row>
    <row r="77" spans="1:12" ht="15.75" hidden="1" thickBot="1" x14ac:dyDescent="0.3">
      <c r="A77" s="184" t="s">
        <v>77</v>
      </c>
      <c r="B77" s="178" t="str">
        <f>INDEX(Orçamentária!A:B,MATCH(Composições!A77,Orçamentária!A:A,0),2)</f>
        <v>Remoção de armários</v>
      </c>
      <c r="C77" s="30"/>
      <c r="D77" s="13" t="str">
        <f>TRIM(INDEX(Orçamentária!C:C,MATCH(Composições!A77,Orçamentária!A:A,0),1))</f>
        <v>m2</v>
      </c>
      <c r="E77" s="14"/>
      <c r="F77" s="37" t="s">
        <v>78</v>
      </c>
      <c r="G77" s="31" t="s">
        <v>1079</v>
      </c>
      <c r="H77" s="16"/>
      <c r="I77" s="16" t="str">
        <f>IF(ISNUMBER(G77),E77*G77,"")</f>
        <v/>
      </c>
      <c r="J77" s="17"/>
      <c r="K77" s="18"/>
      <c r="L77" s="174">
        <v>0</v>
      </c>
    </row>
    <row r="78" spans="1:12" ht="15.75" hidden="1" thickBot="1" x14ac:dyDescent="0.3">
      <c r="A78" s="185"/>
      <c r="B78" s="179"/>
      <c r="C78" s="20"/>
      <c r="D78" s="20"/>
      <c r="E78" s="21"/>
      <c r="F78" s="22"/>
      <c r="G78" s="32" t="s">
        <v>1079</v>
      </c>
      <c r="H78" s="20"/>
      <c r="I78" s="19" t="str">
        <f>IF(ISNUMBER(G78),E78*G78,"")</f>
        <v/>
      </c>
      <c r="J78" s="24"/>
      <c r="K78" s="19"/>
      <c r="L78" s="174">
        <v>0</v>
      </c>
    </row>
    <row r="79" spans="1:12" ht="15.75" hidden="1" thickBot="1" x14ac:dyDescent="0.3">
      <c r="A79" s="185"/>
      <c r="B79" s="179"/>
      <c r="C79" s="25" t="s">
        <v>79</v>
      </c>
      <c r="D79" s="25" t="s">
        <v>21</v>
      </c>
      <c r="E79" s="26">
        <v>0.35</v>
      </c>
      <c r="F79" s="27" t="s">
        <v>80</v>
      </c>
      <c r="G79" s="19">
        <v>19.047499999999999</v>
      </c>
      <c r="H79" s="27" t="s">
        <v>81</v>
      </c>
      <c r="I79" s="23">
        <f>IF(ISNUMBER(G79),E79*G79,"")</f>
        <v>6.6666249999999998</v>
      </c>
      <c r="J79" s="28">
        <f>SUM(I79:I80)</f>
        <v>11.680724999999999</v>
      </c>
      <c r="K79" s="29"/>
      <c r="L79" s="174">
        <v>0</v>
      </c>
    </row>
    <row r="80" spans="1:12" ht="15.75" hidden="1" thickBot="1" x14ac:dyDescent="0.3">
      <c r="A80" s="185"/>
      <c r="B80" s="179"/>
      <c r="C80" s="25" t="s">
        <v>38</v>
      </c>
      <c r="D80" s="25" t="s">
        <v>21</v>
      </c>
      <c r="E80" s="26">
        <v>0.35</v>
      </c>
      <c r="F80" s="27" t="s">
        <v>80</v>
      </c>
      <c r="G80" s="19">
        <v>14.325999999999999</v>
      </c>
      <c r="H80" s="27" t="s">
        <v>39</v>
      </c>
      <c r="I80" s="23">
        <f>IF(ISNUMBER(G80),E80*G80,"")</f>
        <v>5.0140999999999991</v>
      </c>
      <c r="J80" s="34"/>
      <c r="K80" s="35"/>
      <c r="L80" s="174">
        <v>0</v>
      </c>
    </row>
    <row r="81" spans="1:12" ht="15.75" hidden="1" thickBot="1" x14ac:dyDescent="0.3">
      <c r="A81" s="185"/>
      <c r="B81" s="179"/>
      <c r="C81" s="25"/>
      <c r="D81" s="25"/>
      <c r="E81" s="26"/>
      <c r="F81" s="27"/>
      <c r="G81" s="19" t="s">
        <v>1079</v>
      </c>
      <c r="H81" s="27"/>
      <c r="I81" s="19" t="str">
        <f>IF(ISNUMBER(G81),E81*G81,"")</f>
        <v/>
      </c>
      <c r="J81" s="24"/>
      <c r="K81" s="19"/>
      <c r="L81" s="174">
        <v>0</v>
      </c>
    </row>
    <row r="82" spans="1:12" ht="15.75" thickBot="1" x14ac:dyDescent="0.3">
      <c r="A82" s="288" t="s">
        <v>82</v>
      </c>
      <c r="B82" s="289" t="str">
        <f>INDEX(Orçamentária!A:B,MATCH(Composições!A82,Orçamentária!A:A,0),2)</f>
        <v>Remoção de bancadas</v>
      </c>
      <c r="C82" s="274"/>
      <c r="D82" s="265" t="str">
        <f>TRIM(INDEX(Orçamentária!C:C,MATCH(Composições!A82,Orçamentária!A:A,0),1))</f>
        <v>m2</v>
      </c>
      <c r="E82" s="290"/>
      <c r="F82" s="259" t="s">
        <v>83</v>
      </c>
      <c r="G82" s="260" t="s">
        <v>1079</v>
      </c>
      <c r="H82" s="261"/>
      <c r="I82" s="261" t="str">
        <f>IF(ISNUMBER(G82),E82*G82,"")</f>
        <v/>
      </c>
      <c r="J82" s="280"/>
      <c r="K82" s="18"/>
      <c r="L82" s="174">
        <v>22.09</v>
      </c>
    </row>
    <row r="83" spans="1:12" x14ac:dyDescent="0.25">
      <c r="A83" s="291"/>
      <c r="B83" s="292"/>
      <c r="C83" s="155"/>
      <c r="D83" s="155"/>
      <c r="E83" s="293"/>
      <c r="F83" s="294"/>
      <c r="G83" s="262" t="s">
        <v>1079</v>
      </c>
      <c r="H83" s="155"/>
      <c r="I83" s="257" t="str">
        <f>IF(ISNUMBER(G83),E83*G83,"")</f>
        <v/>
      </c>
      <c r="J83" s="281"/>
      <c r="K83" s="19"/>
      <c r="L83" s="174">
        <v>22.09</v>
      </c>
    </row>
    <row r="84" spans="1:12" x14ac:dyDescent="0.25">
      <c r="A84" s="291"/>
      <c r="B84" s="292"/>
      <c r="C84" s="105" t="s">
        <v>36</v>
      </c>
      <c r="D84" s="105" t="s">
        <v>21</v>
      </c>
      <c r="E84" s="250">
        <v>0.15</v>
      </c>
      <c r="F84" s="176" t="s">
        <v>84</v>
      </c>
      <c r="G84" s="257">
        <v>19.142499999999998</v>
      </c>
      <c r="H84" s="176" t="s">
        <v>37</v>
      </c>
      <c r="I84" s="258">
        <f>IF(ISNUMBER(G84),E84*G84,"")</f>
        <v>2.8713749999999996</v>
      </c>
      <c r="J84" s="295">
        <f>SUM(I84:I85)</f>
        <v>17.197374999999997</v>
      </c>
      <c r="K84" s="29"/>
      <c r="L84" s="174">
        <v>22.09</v>
      </c>
    </row>
    <row r="85" spans="1:12" x14ac:dyDescent="0.25">
      <c r="A85" s="291"/>
      <c r="B85" s="292"/>
      <c r="C85" s="105" t="s">
        <v>38</v>
      </c>
      <c r="D85" s="105" t="s">
        <v>21</v>
      </c>
      <c r="E85" s="250">
        <v>1</v>
      </c>
      <c r="F85" s="176" t="s">
        <v>84</v>
      </c>
      <c r="G85" s="257">
        <v>14.325999999999999</v>
      </c>
      <c r="H85" s="176" t="s">
        <v>39</v>
      </c>
      <c r="I85" s="258">
        <f>IF(ISNUMBER(G85),E85*G85,"")</f>
        <v>14.325999999999999</v>
      </c>
      <c r="J85" s="281"/>
      <c r="K85" s="19"/>
      <c r="L85" s="174">
        <v>22.09</v>
      </c>
    </row>
    <row r="86" spans="1:12" ht="15.75" thickBot="1" x14ac:dyDescent="0.3">
      <c r="A86" s="296"/>
      <c r="B86" s="297"/>
      <c r="C86" s="105"/>
      <c r="D86" s="105"/>
      <c r="E86" s="250"/>
      <c r="F86" s="176"/>
      <c r="G86" s="257" t="s">
        <v>1079</v>
      </c>
      <c r="H86" s="176"/>
      <c r="I86" s="257" t="str">
        <f>IF(ISNUMBER(G86),E86*G86,"")</f>
        <v/>
      </c>
      <c r="J86" s="281"/>
      <c r="K86" s="19"/>
      <c r="L86" s="174">
        <v>22.09</v>
      </c>
    </row>
    <row r="87" spans="1:12" ht="15.75" hidden="1" thickBot="1" x14ac:dyDescent="0.3">
      <c r="A87" s="180" t="s">
        <v>85</v>
      </c>
      <c r="B87" s="178" t="str">
        <f>INDEX(Orçamentária!A:B,MATCH(Composições!A87,Orçamentária!A:A,0),2)</f>
        <v>Remoção de batentes de madeira</v>
      </c>
      <c r="C87" s="30"/>
      <c r="D87" s="13" t="str">
        <f>TRIM(INDEX(Orçamentária!C:C,MATCH(Composições!A87,Orçamentária!A:A,0),1))</f>
        <v>un</v>
      </c>
      <c r="E87" s="14"/>
      <c r="F87" s="15" t="s">
        <v>86</v>
      </c>
      <c r="G87" s="31" t="s">
        <v>1079</v>
      </c>
      <c r="H87" s="16"/>
      <c r="I87" s="16" t="str">
        <f>IF(ISNUMBER(G87),E87*G87,"")</f>
        <v/>
      </c>
      <c r="J87" s="17"/>
      <c r="K87" s="18"/>
      <c r="L87" s="174">
        <v>0</v>
      </c>
    </row>
    <row r="88" spans="1:12" ht="15.75" hidden="1" thickBot="1" x14ac:dyDescent="0.3">
      <c r="A88" s="181"/>
      <c r="B88" s="179"/>
      <c r="C88" s="20"/>
      <c r="D88" s="20"/>
      <c r="E88" s="21"/>
      <c r="F88" s="22"/>
      <c r="G88" s="32" t="s">
        <v>1079</v>
      </c>
      <c r="H88" s="20"/>
      <c r="I88" s="19" t="str">
        <f>IF(ISNUMBER(G88),E88*G88,"")</f>
        <v/>
      </c>
      <c r="J88" s="24"/>
      <c r="K88" s="19"/>
      <c r="L88" s="174">
        <v>0</v>
      </c>
    </row>
    <row r="89" spans="1:12" ht="15.75" hidden="1" thickBot="1" x14ac:dyDescent="0.3">
      <c r="A89" s="181"/>
      <c r="B89" s="179"/>
      <c r="C89" s="25" t="s">
        <v>36</v>
      </c>
      <c r="D89" s="25" t="s">
        <v>21</v>
      </c>
      <c r="E89" s="26">
        <f>0.08/2</f>
        <v>0.04</v>
      </c>
      <c r="F89" s="27" t="s">
        <v>86</v>
      </c>
      <c r="G89" s="19">
        <v>19.142499999999998</v>
      </c>
      <c r="H89" s="27" t="s">
        <v>37</v>
      </c>
      <c r="I89" s="23">
        <f>IF(ISNUMBER(G89),E89*G89,"")</f>
        <v>0.76569999999999994</v>
      </c>
      <c r="J89" s="28">
        <f>SUM(I89:I90)</f>
        <v>6.4960999999999993</v>
      </c>
      <c r="K89" s="29"/>
      <c r="L89" s="174">
        <v>0</v>
      </c>
    </row>
    <row r="90" spans="1:12" ht="15.75" hidden="1" thickBot="1" x14ac:dyDescent="0.3">
      <c r="A90" s="181"/>
      <c r="B90" s="179"/>
      <c r="C90" s="25" t="s">
        <v>38</v>
      </c>
      <c r="D90" s="25" t="s">
        <v>21</v>
      </c>
      <c r="E90" s="26">
        <f>0.8/2</f>
        <v>0.4</v>
      </c>
      <c r="F90" s="27" t="s">
        <v>86</v>
      </c>
      <c r="G90" s="19">
        <v>14.325999999999999</v>
      </c>
      <c r="H90" s="27" t="s">
        <v>39</v>
      </c>
      <c r="I90" s="23">
        <f>IF(ISNUMBER(G90),E90*G90,"")</f>
        <v>5.7303999999999995</v>
      </c>
      <c r="J90" s="24"/>
      <c r="K90" s="19"/>
      <c r="L90" s="174">
        <v>0</v>
      </c>
    </row>
    <row r="91" spans="1:12" ht="15.75" hidden="1" thickBot="1" x14ac:dyDescent="0.3">
      <c r="A91" s="181"/>
      <c r="B91" s="179"/>
      <c r="C91" s="25"/>
      <c r="D91" s="25"/>
      <c r="E91" s="26"/>
      <c r="F91" s="27"/>
      <c r="G91" s="23" t="s">
        <v>1079</v>
      </c>
      <c r="H91" s="27"/>
      <c r="I91" s="23" t="str">
        <f>IF(ISNUMBER(G91),E91*G91,"")</f>
        <v/>
      </c>
      <c r="J91" s="24"/>
      <c r="K91" s="19"/>
      <c r="L91" s="174">
        <v>0</v>
      </c>
    </row>
    <row r="92" spans="1:12" ht="15.75" hidden="1" thickBot="1" x14ac:dyDescent="0.3">
      <c r="A92" s="180" t="s">
        <v>87</v>
      </c>
      <c r="B92" s="178" t="str">
        <f>INDEX(Orçamentária!A:B,MATCH(Composições!A92,Orçamentária!A:A,0),2)</f>
        <v>Remoção de canaleta em alumínio</v>
      </c>
      <c r="C92" s="30"/>
      <c r="D92" s="13" t="str">
        <f>TRIM(INDEX(Orçamentária!C:C,MATCH(Composições!A92,Orçamentária!A:A,0),1))</f>
        <v>m</v>
      </c>
      <c r="E92" s="14"/>
      <c r="F92" s="15" t="s">
        <v>17</v>
      </c>
      <c r="G92" s="31" t="s">
        <v>1079</v>
      </c>
      <c r="H92" s="16"/>
      <c r="I92" s="16" t="str">
        <f>IF(ISNUMBER(G92),E92*G92,"")</f>
        <v/>
      </c>
      <c r="J92" s="17"/>
      <c r="K92" s="18"/>
      <c r="L92" s="174">
        <v>0</v>
      </c>
    </row>
    <row r="93" spans="1:12" ht="15.75" hidden="1" thickBot="1" x14ac:dyDescent="0.3">
      <c r="A93" s="181"/>
      <c r="B93" s="179"/>
      <c r="C93" s="20"/>
      <c r="D93" s="20"/>
      <c r="E93" s="21"/>
      <c r="F93" s="22"/>
      <c r="G93" s="32" t="s">
        <v>1079</v>
      </c>
      <c r="H93" s="20"/>
      <c r="I93" s="19" t="str">
        <f>IF(ISNUMBER(G93),E93*G93,"")</f>
        <v/>
      </c>
      <c r="J93" s="24"/>
      <c r="K93" s="19"/>
      <c r="L93" s="174">
        <v>0</v>
      </c>
    </row>
    <row r="94" spans="1:12" ht="15.75" hidden="1" thickBot="1" x14ac:dyDescent="0.3">
      <c r="A94" s="181"/>
      <c r="B94" s="179"/>
      <c r="C94" s="25" t="s">
        <v>54</v>
      </c>
      <c r="D94" s="36" t="s">
        <v>21</v>
      </c>
      <c r="E94" s="26">
        <f>0.75*0.1</f>
        <v>7.5000000000000011E-2</v>
      </c>
      <c r="F94" s="27" t="s">
        <v>17</v>
      </c>
      <c r="G94" s="19">
        <v>19.313499999999998</v>
      </c>
      <c r="H94" s="27" t="s">
        <v>55</v>
      </c>
      <c r="I94" s="23">
        <f>IF(ISNUMBER(G94),E94*G94,"")</f>
        <v>1.4485125000000001</v>
      </c>
      <c r="J94" s="28">
        <f>SUM(I94:I95)</f>
        <v>3.5974125000000003</v>
      </c>
      <c r="K94" s="29"/>
      <c r="L94" s="174">
        <v>0</v>
      </c>
    </row>
    <row r="95" spans="1:12" ht="15.75" hidden="1" thickBot="1" x14ac:dyDescent="0.3">
      <c r="A95" s="181"/>
      <c r="B95" s="179"/>
      <c r="C95" s="25" t="s">
        <v>38</v>
      </c>
      <c r="D95" s="36" t="s">
        <v>21</v>
      </c>
      <c r="E95" s="26">
        <f>0.75*0.2</f>
        <v>0.15000000000000002</v>
      </c>
      <c r="F95" s="27" t="s">
        <v>17</v>
      </c>
      <c r="G95" s="19">
        <v>14.325999999999999</v>
      </c>
      <c r="H95" s="27" t="s">
        <v>39</v>
      </c>
      <c r="I95" s="23">
        <f>IF(ISNUMBER(G95),E95*G95,"")</f>
        <v>2.1489000000000003</v>
      </c>
      <c r="J95" s="24"/>
      <c r="K95" s="19"/>
      <c r="L95" s="174">
        <v>0</v>
      </c>
    </row>
    <row r="96" spans="1:12" ht="15.75" hidden="1" thickBot="1" x14ac:dyDescent="0.3">
      <c r="A96" s="182"/>
      <c r="B96" s="183"/>
      <c r="C96" s="25"/>
      <c r="D96" s="25"/>
      <c r="E96" s="26"/>
      <c r="F96" s="27"/>
      <c r="G96" s="19" t="s">
        <v>1079</v>
      </c>
      <c r="H96" s="27"/>
      <c r="I96" s="19" t="str">
        <f>IF(ISNUMBER(G96),E96*G96,"")</f>
        <v/>
      </c>
      <c r="J96" s="24"/>
      <c r="K96" s="19"/>
      <c r="L96" s="174">
        <v>0</v>
      </c>
    </row>
    <row r="97" spans="1:12" ht="15.75" hidden="1" thickBot="1" x14ac:dyDescent="0.3">
      <c r="A97" s="180" t="s">
        <v>88</v>
      </c>
      <c r="B97" s="178" t="str">
        <f>INDEX(Orçamentária!A:B,MATCH(Composições!A97,Orçamentária!A:A,0),2)</f>
        <v>Remoção de carpete</v>
      </c>
      <c r="C97" s="30"/>
      <c r="D97" s="13" t="str">
        <f>TRIM(INDEX(Orçamentária!C:C,MATCH(Composições!A97,Orçamentária!A:A,0),1))</f>
        <v>m2</v>
      </c>
      <c r="E97" s="14"/>
      <c r="F97" s="15" t="s">
        <v>89</v>
      </c>
      <c r="G97" s="31" t="s">
        <v>1079</v>
      </c>
      <c r="H97" s="16"/>
      <c r="I97" s="16" t="str">
        <f>IF(ISNUMBER(G97),E97*G97,"")</f>
        <v/>
      </c>
      <c r="J97" s="17"/>
      <c r="K97" s="18"/>
      <c r="L97" s="174">
        <v>0</v>
      </c>
    </row>
    <row r="98" spans="1:12" ht="15.75" hidden="1" thickBot="1" x14ac:dyDescent="0.3">
      <c r="A98" s="181"/>
      <c r="B98" s="179"/>
      <c r="C98" s="20"/>
      <c r="D98" s="20"/>
      <c r="E98" s="21"/>
      <c r="F98" s="22"/>
      <c r="G98" s="32" t="s">
        <v>1079</v>
      </c>
      <c r="H98" s="20"/>
      <c r="I98" s="19" t="str">
        <f>IF(ISNUMBER(G98),E98*G98,"")</f>
        <v/>
      </c>
      <c r="J98" s="24"/>
      <c r="K98" s="19"/>
      <c r="L98" s="174">
        <v>0</v>
      </c>
    </row>
    <row r="99" spans="1:12" ht="15.75" hidden="1" thickBot="1" x14ac:dyDescent="0.3">
      <c r="A99" s="181"/>
      <c r="B99" s="179"/>
      <c r="C99" s="25" t="s">
        <v>36</v>
      </c>
      <c r="D99" s="25" t="s">
        <v>21</v>
      </c>
      <c r="E99" s="26">
        <v>0.01</v>
      </c>
      <c r="F99" s="27" t="s">
        <v>90</v>
      </c>
      <c r="G99" s="19">
        <v>19.142499999999998</v>
      </c>
      <c r="H99" s="27" t="s">
        <v>37</v>
      </c>
      <c r="I99" s="23">
        <f>IF(ISNUMBER(G99),E99*G99,"")</f>
        <v>0.19142499999999998</v>
      </c>
      <c r="J99" s="28">
        <f>SUM(I99:I100)</f>
        <v>1.6240249999999998</v>
      </c>
      <c r="K99" s="29"/>
      <c r="L99" s="174">
        <v>0</v>
      </c>
    </row>
    <row r="100" spans="1:12" ht="15.75" hidden="1" thickBot="1" x14ac:dyDescent="0.3">
      <c r="A100" s="181"/>
      <c r="B100" s="179"/>
      <c r="C100" s="25" t="s">
        <v>38</v>
      </c>
      <c r="D100" s="25" t="s">
        <v>21</v>
      </c>
      <c r="E100" s="26">
        <v>0.1</v>
      </c>
      <c r="F100" s="27" t="s">
        <v>90</v>
      </c>
      <c r="G100" s="19">
        <v>14.325999999999999</v>
      </c>
      <c r="H100" s="27" t="s">
        <v>39</v>
      </c>
      <c r="I100" s="23">
        <f>IF(ISNUMBER(G100),E100*G100,"")</f>
        <v>1.4325999999999999</v>
      </c>
      <c r="J100" s="24"/>
      <c r="K100" s="19"/>
      <c r="L100" s="174">
        <v>0</v>
      </c>
    </row>
    <row r="101" spans="1:12" ht="15.75" hidden="1" thickBot="1" x14ac:dyDescent="0.3">
      <c r="A101" s="182"/>
      <c r="B101" s="183"/>
      <c r="C101" s="25"/>
      <c r="D101" s="25"/>
      <c r="E101" s="26"/>
      <c r="F101" s="27"/>
      <c r="G101" s="19" t="s">
        <v>1079</v>
      </c>
      <c r="H101" s="27"/>
      <c r="I101" s="19" t="str">
        <f>IF(ISNUMBER(G101),E101*G101,"")</f>
        <v/>
      </c>
      <c r="J101" s="24"/>
      <c r="K101" s="19"/>
      <c r="L101" s="174">
        <v>0</v>
      </c>
    </row>
    <row r="102" spans="1:12" ht="15.75" hidden="1" thickBot="1" x14ac:dyDescent="0.3">
      <c r="A102" s="180" t="s">
        <v>91</v>
      </c>
      <c r="B102" s="178" t="str">
        <f>INDEX(Orçamentária!A:B,MATCH(Composições!A102,Orçamentária!A:A,0),2)</f>
        <v>Remoção de cortinas</v>
      </c>
      <c r="C102" s="30"/>
      <c r="D102" s="13" t="str">
        <f>TRIM(INDEX(Orçamentária!C:C,MATCH(Composições!A102,Orçamentária!A:A,0),1))</f>
        <v>m</v>
      </c>
      <c r="E102" s="14"/>
      <c r="F102" s="15" t="s">
        <v>17</v>
      </c>
      <c r="G102" s="31" t="s">
        <v>1079</v>
      </c>
      <c r="H102" s="16"/>
      <c r="I102" s="16" t="str">
        <f>IF(ISNUMBER(G102),E102*G102,"")</f>
        <v/>
      </c>
      <c r="J102" s="17"/>
      <c r="K102" s="18"/>
      <c r="L102" s="174">
        <v>0</v>
      </c>
    </row>
    <row r="103" spans="1:12" ht="15.75" hidden="1" thickBot="1" x14ac:dyDescent="0.3">
      <c r="A103" s="181"/>
      <c r="B103" s="179"/>
      <c r="C103" s="20"/>
      <c r="D103" s="20"/>
      <c r="E103" s="21"/>
      <c r="F103" s="22"/>
      <c r="G103" s="32" t="s">
        <v>1079</v>
      </c>
      <c r="H103" s="20"/>
      <c r="I103" s="19" t="str">
        <f>IF(ISNUMBER(G103),E103*G103,"")</f>
        <v/>
      </c>
      <c r="J103" s="24"/>
      <c r="K103" s="19"/>
      <c r="L103" s="174">
        <v>0</v>
      </c>
    </row>
    <row r="104" spans="1:12" ht="15.75" hidden="1" thickBot="1" x14ac:dyDescent="0.3">
      <c r="A104" s="181"/>
      <c r="B104" s="179"/>
      <c r="C104" s="25" t="s">
        <v>92</v>
      </c>
      <c r="D104" s="25" t="s">
        <v>21</v>
      </c>
      <c r="E104" s="26">
        <f>ROUND(1/6,4)</f>
        <v>0.16669999999999999</v>
      </c>
      <c r="F104" s="27" t="s">
        <v>17</v>
      </c>
      <c r="G104" s="19">
        <v>16.881499999999999</v>
      </c>
      <c r="H104" s="27" t="s">
        <v>93</v>
      </c>
      <c r="I104" s="23">
        <f>IF(ISNUMBER(G104),E104*G104,"")</f>
        <v>2.8141460499999997</v>
      </c>
      <c r="J104" s="28">
        <f>SUM(I104:I104)</f>
        <v>2.8141460499999997</v>
      </c>
      <c r="K104" s="29"/>
      <c r="L104" s="174">
        <v>0</v>
      </c>
    </row>
    <row r="105" spans="1:12" ht="15.75" hidden="1" thickBot="1" x14ac:dyDescent="0.3">
      <c r="A105" s="182"/>
      <c r="B105" s="183"/>
      <c r="C105" s="25"/>
      <c r="D105" s="25"/>
      <c r="E105" s="26"/>
      <c r="F105" s="27"/>
      <c r="G105" s="19" t="s">
        <v>1079</v>
      </c>
      <c r="H105" s="27"/>
      <c r="I105" s="19" t="str">
        <f>IF(ISNUMBER(G105),E105*G105,"")</f>
        <v/>
      </c>
      <c r="J105" s="24"/>
      <c r="K105" s="19"/>
      <c r="L105" s="174">
        <v>0</v>
      </c>
    </row>
    <row r="106" spans="1:12" ht="15.75" hidden="1" thickBot="1" x14ac:dyDescent="0.3">
      <c r="A106" s="180" t="s">
        <v>94</v>
      </c>
      <c r="B106" s="178" t="str">
        <f>INDEX(Orçamentária!A:B,MATCH(Composições!A106,Orçamentária!A:A,0),2)</f>
        <v>Remoção de difusores, grelhas e acessórios de climatização</v>
      </c>
      <c r="C106" s="30"/>
      <c r="D106" s="13" t="str">
        <f>TRIM(INDEX(Orçamentária!C:C,MATCH(Composições!A106,Orçamentária!A:A,0),1))</f>
        <v>un</v>
      </c>
      <c r="E106" s="14"/>
      <c r="F106" s="15" t="s">
        <v>95</v>
      </c>
      <c r="G106" s="31" t="s">
        <v>1079</v>
      </c>
      <c r="H106" s="16"/>
      <c r="I106" s="16" t="str">
        <f>IF(ISNUMBER(G106),E106*G106,"")</f>
        <v/>
      </c>
      <c r="J106" s="17"/>
      <c r="K106" s="18"/>
      <c r="L106" s="174">
        <v>0</v>
      </c>
    </row>
    <row r="107" spans="1:12" ht="15.75" hidden="1" thickBot="1" x14ac:dyDescent="0.3">
      <c r="A107" s="181"/>
      <c r="B107" s="179"/>
      <c r="C107" s="20"/>
      <c r="D107" s="20"/>
      <c r="E107" s="21"/>
      <c r="F107" s="22"/>
      <c r="G107" s="32" t="s">
        <v>1079</v>
      </c>
      <c r="H107" s="20"/>
      <c r="I107" s="19" t="str">
        <f>IF(ISNUMBER(G107),E107*G107,"")</f>
        <v/>
      </c>
      <c r="J107" s="24"/>
      <c r="K107" s="19"/>
      <c r="L107" s="174">
        <v>0</v>
      </c>
    </row>
    <row r="108" spans="1:12" ht="15.75" hidden="1" thickBot="1" x14ac:dyDescent="0.3">
      <c r="A108" s="181"/>
      <c r="B108" s="179"/>
      <c r="C108" s="25" t="s">
        <v>96</v>
      </c>
      <c r="D108" s="36" t="s">
        <v>21</v>
      </c>
      <c r="E108" s="26">
        <v>0.6</v>
      </c>
      <c r="F108" s="38" t="s">
        <v>97</v>
      </c>
      <c r="G108" s="19">
        <v>15.275999999999998</v>
      </c>
      <c r="H108" s="27" t="s">
        <v>98</v>
      </c>
      <c r="I108" s="19">
        <f>IF(ISNUMBER(G108),E108*G108,"")</f>
        <v>9.1655999999999977</v>
      </c>
      <c r="J108" s="28">
        <f>SUM(I108:I109)</f>
        <v>17.761199999999995</v>
      </c>
      <c r="K108" s="29"/>
      <c r="L108" s="174">
        <v>0</v>
      </c>
    </row>
    <row r="109" spans="1:12" ht="15.75" hidden="1" thickBot="1" x14ac:dyDescent="0.3">
      <c r="A109" s="181"/>
      <c r="B109" s="179"/>
      <c r="C109" s="25" t="s">
        <v>38</v>
      </c>
      <c r="D109" s="36" t="s">
        <v>21</v>
      </c>
      <c r="E109" s="26">
        <v>0.6</v>
      </c>
      <c r="F109" s="38" t="s">
        <v>97</v>
      </c>
      <c r="G109" s="19">
        <v>14.325999999999999</v>
      </c>
      <c r="H109" s="27" t="s">
        <v>39</v>
      </c>
      <c r="I109" s="19">
        <f>IF(ISNUMBER(G109),E109*G109,"")</f>
        <v>8.5955999999999992</v>
      </c>
      <c r="J109" s="24"/>
      <c r="K109" s="19"/>
      <c r="L109" s="174">
        <v>0</v>
      </c>
    </row>
    <row r="110" spans="1:12" ht="15.75" hidden="1" thickBot="1" x14ac:dyDescent="0.3">
      <c r="A110" s="182"/>
      <c r="B110" s="183"/>
      <c r="C110" s="25"/>
      <c r="D110" s="25"/>
      <c r="E110" s="26"/>
      <c r="F110" s="27"/>
      <c r="G110" s="19" t="s">
        <v>1079</v>
      </c>
      <c r="H110" s="27"/>
      <c r="I110" s="19" t="str">
        <f>IF(ISNUMBER(G110),E110*G110,"")</f>
        <v/>
      </c>
      <c r="J110" s="24"/>
      <c r="K110" s="19"/>
      <c r="L110" s="174">
        <v>0</v>
      </c>
    </row>
    <row r="111" spans="1:12" ht="15.75" hidden="1" thickBot="1" x14ac:dyDescent="0.3">
      <c r="A111" s="180" t="s">
        <v>99</v>
      </c>
      <c r="B111" s="178" t="str">
        <f>INDEX(Orçamentária!A:B,MATCH(Composições!A111,Orçamentária!A:A,0),2)</f>
        <v>Remoção de divisória de mármore ou granito</v>
      </c>
      <c r="C111" s="30"/>
      <c r="D111" s="13" t="str">
        <f>TRIM(INDEX(Orçamentária!C:C,MATCH(Composições!A111,Orçamentária!A:A,0),1))</f>
        <v>m2</v>
      </c>
      <c r="E111" s="14"/>
      <c r="F111" s="15" t="s">
        <v>100</v>
      </c>
      <c r="G111" s="31" t="s">
        <v>1079</v>
      </c>
      <c r="H111" s="16"/>
      <c r="I111" s="16" t="str">
        <f>IF(ISNUMBER(G111),E111*G111,"")</f>
        <v/>
      </c>
      <c r="J111" s="17"/>
      <c r="K111" s="18"/>
      <c r="L111" s="174">
        <v>0</v>
      </c>
    </row>
    <row r="112" spans="1:12" ht="15.75" hidden="1" thickBot="1" x14ac:dyDescent="0.3">
      <c r="A112" s="181"/>
      <c r="B112" s="179"/>
      <c r="C112" s="20"/>
      <c r="D112" s="20"/>
      <c r="E112" s="21"/>
      <c r="F112" s="22"/>
      <c r="G112" s="32" t="s">
        <v>1079</v>
      </c>
      <c r="H112" s="20"/>
      <c r="I112" s="19" t="str">
        <f>IF(ISNUMBER(G112),E112*G112,"")</f>
        <v/>
      </c>
      <c r="J112" s="24"/>
      <c r="K112" s="19"/>
      <c r="L112" s="174">
        <v>0</v>
      </c>
    </row>
    <row r="113" spans="1:12" ht="15.75" hidden="1" thickBot="1" x14ac:dyDescent="0.3">
      <c r="A113" s="181"/>
      <c r="B113" s="179"/>
      <c r="C113" s="25" t="s">
        <v>101</v>
      </c>
      <c r="D113" s="25" t="s">
        <v>21</v>
      </c>
      <c r="E113" s="26">
        <v>0.6</v>
      </c>
      <c r="F113" s="27" t="s">
        <v>102</v>
      </c>
      <c r="G113" s="19">
        <v>16.093</v>
      </c>
      <c r="H113" s="27" t="s">
        <v>103</v>
      </c>
      <c r="I113" s="23">
        <f>IF(ISNUMBER(G113),E113*G113,"")</f>
        <v>9.6557999999999993</v>
      </c>
      <c r="J113" s="28">
        <f>SUM(I113:I114)</f>
        <v>26.846999999999998</v>
      </c>
      <c r="K113" s="29"/>
      <c r="L113" s="174">
        <v>0</v>
      </c>
    </row>
    <row r="114" spans="1:12" ht="15.75" hidden="1" thickBot="1" x14ac:dyDescent="0.3">
      <c r="A114" s="181"/>
      <c r="B114" s="179"/>
      <c r="C114" s="25" t="s">
        <v>38</v>
      </c>
      <c r="D114" s="25" t="s">
        <v>21</v>
      </c>
      <c r="E114" s="26">
        <v>1.2</v>
      </c>
      <c r="F114" s="27" t="s">
        <v>102</v>
      </c>
      <c r="G114" s="19">
        <v>14.325999999999999</v>
      </c>
      <c r="H114" s="27" t="s">
        <v>39</v>
      </c>
      <c r="I114" s="23">
        <f>IF(ISNUMBER(G114),E114*G114,"")</f>
        <v>17.191199999999998</v>
      </c>
      <c r="J114" s="24"/>
      <c r="K114" s="19"/>
      <c r="L114" s="174">
        <v>0</v>
      </c>
    </row>
    <row r="115" spans="1:12" ht="15.75" hidden="1" thickBot="1" x14ac:dyDescent="0.3">
      <c r="A115" s="182"/>
      <c r="B115" s="183"/>
      <c r="C115" s="25"/>
      <c r="D115" s="25"/>
      <c r="E115" s="26"/>
      <c r="F115" s="27"/>
      <c r="G115" s="19" t="s">
        <v>1079</v>
      </c>
      <c r="H115" s="27"/>
      <c r="I115" s="19" t="str">
        <f>IF(ISNUMBER(G115),E115*G115,"")</f>
        <v/>
      </c>
      <c r="J115" s="24"/>
      <c r="K115" s="19"/>
      <c r="L115" s="174">
        <v>0</v>
      </c>
    </row>
    <row r="116" spans="1:12" ht="15.75" hidden="1" thickBot="1" x14ac:dyDescent="0.3">
      <c r="A116" s="180" t="s">
        <v>104</v>
      </c>
      <c r="B116" s="178" t="str">
        <f>INDEX(Orçamentária!A:B,MATCH(Composições!A116,Orçamentária!A:A,0),2)</f>
        <v>Remoção de divisórias de MDF e gesso acartonado</v>
      </c>
      <c r="C116" s="30"/>
      <c r="D116" s="13" t="str">
        <f>TRIM(INDEX(Orçamentária!C:C,MATCH(Composições!A116,Orçamentária!A:A,0),1))</f>
        <v>m2</v>
      </c>
      <c r="E116" s="14"/>
      <c r="F116" s="15" t="s">
        <v>105</v>
      </c>
      <c r="G116" s="31" t="s">
        <v>1079</v>
      </c>
      <c r="H116" s="16"/>
      <c r="I116" s="16" t="str">
        <f>IF(ISNUMBER(G116),E116*G116,"")</f>
        <v/>
      </c>
      <c r="J116" s="17"/>
      <c r="K116" s="18"/>
      <c r="L116" s="174">
        <v>0</v>
      </c>
    </row>
    <row r="117" spans="1:12" ht="15.75" hidden="1" thickBot="1" x14ac:dyDescent="0.3">
      <c r="A117" s="181"/>
      <c r="B117" s="179"/>
      <c r="C117" s="20"/>
      <c r="D117" s="20"/>
      <c r="E117" s="21"/>
      <c r="F117" s="22"/>
      <c r="G117" s="32" t="s">
        <v>1079</v>
      </c>
      <c r="H117" s="20"/>
      <c r="I117" s="19" t="str">
        <f>IF(ISNUMBER(G117),E117*G117,"")</f>
        <v/>
      </c>
      <c r="J117" s="24"/>
      <c r="K117" s="19"/>
      <c r="L117" s="174">
        <v>0</v>
      </c>
    </row>
    <row r="118" spans="1:12" ht="15.75" hidden="1" thickBot="1" x14ac:dyDescent="0.3">
      <c r="A118" s="181"/>
      <c r="B118" s="179"/>
      <c r="C118" s="25" t="s">
        <v>79</v>
      </c>
      <c r="D118" s="25" t="s">
        <v>21</v>
      </c>
      <c r="E118" s="26">
        <v>1.2</v>
      </c>
      <c r="F118" s="27" t="s">
        <v>105</v>
      </c>
      <c r="G118" s="19">
        <v>19.047499999999999</v>
      </c>
      <c r="H118" s="27" t="s">
        <v>81</v>
      </c>
      <c r="I118" s="23">
        <f>IF(ISNUMBER(G118),E118*G118,"")</f>
        <v>22.856999999999999</v>
      </c>
      <c r="J118" s="28">
        <f>SUM(I118:I118)</f>
        <v>22.856999999999999</v>
      </c>
      <c r="K118" s="29"/>
      <c r="L118" s="174">
        <v>0</v>
      </c>
    </row>
    <row r="119" spans="1:12" ht="15.75" hidden="1" thickBot="1" x14ac:dyDescent="0.3">
      <c r="A119" s="182"/>
      <c r="B119" s="183"/>
      <c r="C119" s="25"/>
      <c r="D119" s="25"/>
      <c r="E119" s="26"/>
      <c r="F119" s="27"/>
      <c r="G119" s="19" t="s">
        <v>1079</v>
      </c>
      <c r="H119" s="27"/>
      <c r="I119" s="19" t="str">
        <f>IF(ISNUMBER(G119),E119*G119,"")</f>
        <v/>
      </c>
      <c r="J119" s="24"/>
      <c r="K119" s="19"/>
      <c r="L119" s="174">
        <v>0</v>
      </c>
    </row>
    <row r="120" spans="1:12" ht="15.75" hidden="1" thickBot="1" x14ac:dyDescent="0.3">
      <c r="A120" s="180" t="s">
        <v>106</v>
      </c>
      <c r="B120" s="178" t="str">
        <f>INDEX(Orçamentária!A:B,MATCH(Composições!A120,Orçamentária!A:A,0),2)</f>
        <v>Remoção de dutos/tubulações</v>
      </c>
      <c r="C120" s="30"/>
      <c r="D120" s="13" t="str">
        <f>TRIM(INDEX(Orçamentária!C:C,MATCH(Composições!A120,Orçamentária!A:A,0),1))</f>
        <v>m</v>
      </c>
      <c r="E120" s="14"/>
      <c r="F120" s="15" t="s">
        <v>107</v>
      </c>
      <c r="G120" s="31" t="s">
        <v>1079</v>
      </c>
      <c r="H120" s="16"/>
      <c r="I120" s="16" t="str">
        <f>IF(ISNUMBER(G120),E120*G120,"")</f>
        <v/>
      </c>
      <c r="J120" s="17"/>
      <c r="K120" s="18"/>
      <c r="L120" s="174">
        <v>0</v>
      </c>
    </row>
    <row r="121" spans="1:12" ht="15.75" hidden="1" thickBot="1" x14ac:dyDescent="0.3">
      <c r="A121" s="181"/>
      <c r="B121" s="179"/>
      <c r="C121" s="20"/>
      <c r="D121" s="20"/>
      <c r="E121" s="21"/>
      <c r="F121" s="22"/>
      <c r="G121" s="32" t="s">
        <v>1079</v>
      </c>
      <c r="H121" s="20"/>
      <c r="I121" s="19" t="str">
        <f>IF(ISNUMBER(G121),E121*G121,"")</f>
        <v/>
      </c>
      <c r="J121" s="24"/>
      <c r="K121" s="19"/>
      <c r="L121" s="174">
        <v>0</v>
      </c>
    </row>
    <row r="122" spans="1:12" ht="15.75" hidden="1" thickBot="1" x14ac:dyDescent="0.3">
      <c r="A122" s="181"/>
      <c r="B122" s="179"/>
      <c r="C122" s="25" t="s">
        <v>70</v>
      </c>
      <c r="D122" s="36" t="s">
        <v>21</v>
      </c>
      <c r="E122" s="26">
        <v>0.17499999999999999</v>
      </c>
      <c r="F122" s="27" t="s">
        <v>108</v>
      </c>
      <c r="G122" s="19">
        <v>18.743500000000001</v>
      </c>
      <c r="H122" s="27" t="s">
        <v>71</v>
      </c>
      <c r="I122" s="23">
        <f>IF(ISNUMBER(G122),E122*G122,"")</f>
        <v>3.2801125</v>
      </c>
      <c r="J122" s="28">
        <f>SUM(I122:I123)</f>
        <v>7.5779125000000001</v>
      </c>
      <c r="K122" s="29"/>
      <c r="L122" s="174">
        <v>0</v>
      </c>
    </row>
    <row r="123" spans="1:12" ht="15.75" hidden="1" thickBot="1" x14ac:dyDescent="0.3">
      <c r="A123" s="181"/>
      <c r="B123" s="179"/>
      <c r="C123" s="25" t="s">
        <v>38</v>
      </c>
      <c r="D123" s="36" t="s">
        <v>21</v>
      </c>
      <c r="E123" s="26">
        <v>0.3</v>
      </c>
      <c r="F123" s="27" t="s">
        <v>108</v>
      </c>
      <c r="G123" s="19">
        <v>14.325999999999999</v>
      </c>
      <c r="H123" s="27" t="s">
        <v>39</v>
      </c>
      <c r="I123" s="23">
        <f>IF(ISNUMBER(G123),E123*G123,"")</f>
        <v>4.2977999999999996</v>
      </c>
      <c r="J123" s="24"/>
      <c r="K123" s="19"/>
      <c r="L123" s="174">
        <v>0</v>
      </c>
    </row>
    <row r="124" spans="1:12" ht="15.75" hidden="1" thickBot="1" x14ac:dyDescent="0.3">
      <c r="A124" s="182"/>
      <c r="B124" s="183"/>
      <c r="C124" s="25"/>
      <c r="D124" s="25"/>
      <c r="E124" s="26"/>
      <c r="F124" s="27"/>
      <c r="G124" s="19" t="s">
        <v>1079</v>
      </c>
      <c r="H124" s="27"/>
      <c r="I124" s="19" t="str">
        <f>IF(ISNUMBER(G124),E124*G124,"")</f>
        <v/>
      </c>
      <c r="J124" s="24"/>
      <c r="K124" s="19"/>
      <c r="L124" s="174">
        <v>0</v>
      </c>
    </row>
    <row r="125" spans="1:12" ht="15.75" thickBot="1" x14ac:dyDescent="0.3">
      <c r="A125" s="288" t="s">
        <v>109</v>
      </c>
      <c r="B125" s="289" t="str">
        <f>INDEX(Orçamentária!A:B,MATCH(Composições!A125,Orçamentária!A:A,0),2)</f>
        <v>Remoção de esquadrias metálicas</v>
      </c>
      <c r="C125" s="274"/>
      <c r="D125" s="265" t="str">
        <f>TRIM(INDEX(Orçamentária!C:C,MATCH(Composições!A125,Orçamentária!A:A,0),1))</f>
        <v>m2</v>
      </c>
      <c r="E125" s="290"/>
      <c r="F125" s="259" t="s">
        <v>110</v>
      </c>
      <c r="G125" s="260" t="s">
        <v>1079</v>
      </c>
      <c r="H125" s="261"/>
      <c r="I125" s="261" t="str">
        <f>IF(ISNUMBER(G125),E125*G125,"")</f>
        <v/>
      </c>
      <c r="J125" s="280"/>
      <c r="K125" s="18"/>
      <c r="L125" s="174">
        <v>1.83</v>
      </c>
    </row>
    <row r="126" spans="1:12" x14ac:dyDescent="0.25">
      <c r="A126" s="291"/>
      <c r="B126" s="292"/>
      <c r="C126" s="155"/>
      <c r="D126" s="155"/>
      <c r="E126" s="293"/>
      <c r="F126" s="294"/>
      <c r="G126" s="262" t="s">
        <v>1079</v>
      </c>
      <c r="H126" s="155"/>
      <c r="I126" s="257" t="str">
        <f>IF(ISNUMBER(G126),E126*G126,"")</f>
        <v/>
      </c>
      <c r="J126" s="281"/>
      <c r="K126" s="19"/>
      <c r="L126" s="174">
        <v>1.83</v>
      </c>
    </row>
    <row r="127" spans="1:12" x14ac:dyDescent="0.25">
      <c r="A127" s="291"/>
      <c r="B127" s="292"/>
      <c r="C127" s="105" t="s">
        <v>36</v>
      </c>
      <c r="D127" s="105" t="s">
        <v>21</v>
      </c>
      <c r="E127" s="250">
        <v>0.05</v>
      </c>
      <c r="F127" s="176" t="s">
        <v>111</v>
      </c>
      <c r="G127" s="257">
        <v>19.142499999999998</v>
      </c>
      <c r="H127" s="176" t="s">
        <v>37</v>
      </c>
      <c r="I127" s="258">
        <f>IF(ISNUMBER(G127),E127*G127,"")</f>
        <v>0.957125</v>
      </c>
      <c r="J127" s="295">
        <f>SUM(I127:I128)</f>
        <v>8.1201249999999998</v>
      </c>
      <c r="K127" s="29"/>
      <c r="L127" s="174">
        <v>1.83</v>
      </c>
    </row>
    <row r="128" spans="1:12" x14ac:dyDescent="0.25">
      <c r="A128" s="291"/>
      <c r="B128" s="292"/>
      <c r="C128" s="105" t="s">
        <v>38</v>
      </c>
      <c r="D128" s="105" t="s">
        <v>21</v>
      </c>
      <c r="E128" s="250">
        <v>0.5</v>
      </c>
      <c r="F128" s="176" t="s">
        <v>111</v>
      </c>
      <c r="G128" s="257">
        <v>14.325999999999999</v>
      </c>
      <c r="H128" s="176" t="s">
        <v>39</v>
      </c>
      <c r="I128" s="258">
        <f>IF(ISNUMBER(G128),E128*G128,"")</f>
        <v>7.1629999999999994</v>
      </c>
      <c r="J128" s="282"/>
      <c r="K128" s="35"/>
      <c r="L128" s="174">
        <v>1.83</v>
      </c>
    </row>
    <row r="129" spans="1:12" ht="15.75" thickBot="1" x14ac:dyDescent="0.3">
      <c r="A129" s="296"/>
      <c r="B129" s="297"/>
      <c r="C129" s="105"/>
      <c r="D129" s="105"/>
      <c r="E129" s="250"/>
      <c r="F129" s="176"/>
      <c r="G129" s="257" t="s">
        <v>1079</v>
      </c>
      <c r="H129" s="176"/>
      <c r="I129" s="257" t="str">
        <f>IF(ISNUMBER(G129),E129*G129,"")</f>
        <v/>
      </c>
      <c r="J129" s="281"/>
      <c r="K129" s="19"/>
      <c r="L129" s="174">
        <v>1.83</v>
      </c>
    </row>
    <row r="130" spans="1:12" ht="15.75" hidden="1" thickBot="1" x14ac:dyDescent="0.3">
      <c r="A130" s="180" t="s">
        <v>112</v>
      </c>
      <c r="B130" s="178" t="str">
        <f>INDEX(Orçamentária!A:B,MATCH(Composições!A130,Orçamentária!A:A,0),2)</f>
        <v>Remoção de exaustor</v>
      </c>
      <c r="C130" s="30"/>
      <c r="D130" s="13" t="str">
        <f>TRIM(INDEX(Orçamentária!C:C,MATCH(Composições!A130,Orçamentária!A:A,0),1))</f>
        <v>un</v>
      </c>
      <c r="E130" s="14"/>
      <c r="F130" s="15" t="s">
        <v>113</v>
      </c>
      <c r="G130" s="31" t="s">
        <v>1079</v>
      </c>
      <c r="H130" s="16"/>
      <c r="I130" s="16" t="str">
        <f>IF(ISNUMBER(G130),E130*G130,"")</f>
        <v/>
      </c>
      <c r="J130" s="17"/>
      <c r="K130" s="18"/>
      <c r="L130" s="174">
        <v>0</v>
      </c>
    </row>
    <row r="131" spans="1:12" ht="15.75" hidden="1" thickBot="1" x14ac:dyDescent="0.3">
      <c r="A131" s="181"/>
      <c r="B131" s="179"/>
      <c r="C131" s="20"/>
      <c r="D131" s="20"/>
      <c r="E131" s="21"/>
      <c r="F131" s="22"/>
      <c r="G131" s="32" t="s">
        <v>1079</v>
      </c>
      <c r="H131" s="20"/>
      <c r="I131" s="19" t="str">
        <f>IF(ISNUMBER(G131),E131*G131,"")</f>
        <v/>
      </c>
      <c r="J131" s="24"/>
      <c r="K131" s="19"/>
      <c r="L131" s="174">
        <v>0</v>
      </c>
    </row>
    <row r="132" spans="1:12" ht="15.75" hidden="1" thickBot="1" x14ac:dyDescent="0.3">
      <c r="A132" s="181"/>
      <c r="B132" s="179"/>
      <c r="C132" s="25" t="s">
        <v>54</v>
      </c>
      <c r="D132" s="25" t="s">
        <v>21</v>
      </c>
      <c r="E132" s="26">
        <v>0.3</v>
      </c>
      <c r="F132" s="27" t="s">
        <v>114</v>
      </c>
      <c r="G132" s="19">
        <v>19.313499999999998</v>
      </c>
      <c r="H132" s="27" t="s">
        <v>55</v>
      </c>
      <c r="I132" s="19">
        <f>IF(ISNUMBER(G132),E132*G132,"")</f>
        <v>5.7940499999999995</v>
      </c>
      <c r="J132" s="28">
        <f>SUM(I132:I132)</f>
        <v>5.7940499999999995</v>
      </c>
      <c r="K132" s="29"/>
      <c r="L132" s="174">
        <v>0</v>
      </c>
    </row>
    <row r="133" spans="1:12" ht="15.75" hidden="1" thickBot="1" x14ac:dyDescent="0.3">
      <c r="A133" s="182"/>
      <c r="B133" s="183"/>
      <c r="C133" s="25"/>
      <c r="D133" s="25"/>
      <c r="E133" s="26"/>
      <c r="F133" s="27"/>
      <c r="G133" s="19" t="s">
        <v>1079</v>
      </c>
      <c r="H133" s="27"/>
      <c r="I133" s="19" t="str">
        <f>IF(ISNUMBER(G133),E133*G133,"")</f>
        <v/>
      </c>
      <c r="J133" s="24"/>
      <c r="K133" s="19"/>
      <c r="L133" s="174">
        <v>0</v>
      </c>
    </row>
    <row r="134" spans="1:12" ht="15.75" thickBot="1" x14ac:dyDescent="0.3">
      <c r="A134" s="288" t="s">
        <v>115</v>
      </c>
      <c r="B134" s="289" t="str">
        <f>INDEX(Orçamentária!A:B,MATCH(Composições!A134,Orçamentária!A:A,0),2)</f>
        <v>Remoção de fechadura/puxador de porta</v>
      </c>
      <c r="C134" s="274"/>
      <c r="D134" s="265" t="str">
        <f>TRIM(INDEX(Orçamentária!C:C,MATCH(Composições!A134,Orçamentária!A:A,0),1))</f>
        <v>un</v>
      </c>
      <c r="E134" s="290"/>
      <c r="F134" s="259" t="s">
        <v>116</v>
      </c>
      <c r="G134" s="260" t="s">
        <v>1079</v>
      </c>
      <c r="H134" s="261"/>
      <c r="I134" s="261" t="str">
        <f>IF(ISNUMBER(G134),E134*G134,"")</f>
        <v/>
      </c>
      <c r="J134" s="280"/>
      <c r="K134" s="18"/>
      <c r="L134" s="174">
        <v>3</v>
      </c>
    </row>
    <row r="135" spans="1:12" x14ac:dyDescent="0.25">
      <c r="A135" s="291"/>
      <c r="B135" s="292"/>
      <c r="C135" s="155"/>
      <c r="D135" s="155"/>
      <c r="E135" s="293"/>
      <c r="F135" s="294"/>
      <c r="G135" s="262" t="s">
        <v>1079</v>
      </c>
      <c r="H135" s="155"/>
      <c r="I135" s="257" t="str">
        <f>IF(ISNUMBER(G135),E135*G135,"")</f>
        <v/>
      </c>
      <c r="J135" s="281"/>
      <c r="K135" s="19"/>
      <c r="L135" s="174">
        <v>3</v>
      </c>
    </row>
    <row r="136" spans="1:12" x14ac:dyDescent="0.25">
      <c r="A136" s="291"/>
      <c r="B136" s="292"/>
      <c r="C136" s="105" t="s">
        <v>79</v>
      </c>
      <c r="D136" s="105" t="s">
        <v>21</v>
      </c>
      <c r="E136" s="250">
        <f>0.25</f>
        <v>0.25</v>
      </c>
      <c r="F136" s="176" t="s">
        <v>117</v>
      </c>
      <c r="G136" s="257">
        <v>19.047499999999999</v>
      </c>
      <c r="H136" s="176" t="s">
        <v>81</v>
      </c>
      <c r="I136" s="258">
        <f>IF(ISNUMBER(G136),E136*G136,"")</f>
        <v>4.7618749999999999</v>
      </c>
      <c r="J136" s="295">
        <f>SUM(I136:I136)</f>
        <v>4.7618749999999999</v>
      </c>
      <c r="K136" s="29"/>
      <c r="L136" s="174">
        <v>3</v>
      </c>
    </row>
    <row r="137" spans="1:12" ht="15.75" thickBot="1" x14ac:dyDescent="0.3">
      <c r="A137" s="291"/>
      <c r="B137" s="292"/>
      <c r="C137" s="105"/>
      <c r="D137" s="105"/>
      <c r="E137" s="250"/>
      <c r="F137" s="176"/>
      <c r="G137" s="257" t="s">
        <v>1079</v>
      </c>
      <c r="H137" s="176"/>
      <c r="I137" s="257" t="str">
        <f>IF(ISNUMBER(G137),E137*G137,"")</f>
        <v/>
      </c>
      <c r="J137" s="281"/>
      <c r="K137" s="19"/>
      <c r="L137" s="174">
        <v>3</v>
      </c>
    </row>
    <row r="138" spans="1:12" ht="15.75" thickBot="1" x14ac:dyDescent="0.3">
      <c r="A138" s="288" t="s">
        <v>118</v>
      </c>
      <c r="B138" s="289" t="str">
        <f>INDEX(Orçamentária!A:B,MATCH(Composições!A138,Orçamentária!A:A,0),2)</f>
        <v>Remoção de folha de porta e dobradiças</v>
      </c>
      <c r="C138" s="274"/>
      <c r="D138" s="265" t="str">
        <f>TRIM(INDEX(Orçamentária!C:C,MATCH(Composições!A138,Orçamentária!A:A,0),1))</f>
        <v>un</v>
      </c>
      <c r="E138" s="290"/>
      <c r="F138" s="259" t="s">
        <v>119</v>
      </c>
      <c r="G138" s="260" t="s">
        <v>1079</v>
      </c>
      <c r="H138" s="261"/>
      <c r="I138" s="261" t="str">
        <f>IF(ISNUMBER(G138),E138*G138,"")</f>
        <v/>
      </c>
      <c r="J138" s="280"/>
      <c r="K138" s="18"/>
      <c r="L138" s="174">
        <v>3</v>
      </c>
    </row>
    <row r="139" spans="1:12" x14ac:dyDescent="0.25">
      <c r="A139" s="291"/>
      <c r="B139" s="292"/>
      <c r="C139" s="155"/>
      <c r="D139" s="155"/>
      <c r="E139" s="293"/>
      <c r="F139" s="294"/>
      <c r="G139" s="262" t="s">
        <v>1079</v>
      </c>
      <c r="H139" s="155"/>
      <c r="I139" s="257" t="str">
        <f>IF(ISNUMBER(G139),E139*G139,"")</f>
        <v/>
      </c>
      <c r="J139" s="281"/>
      <c r="K139" s="19"/>
      <c r="L139" s="174">
        <v>3</v>
      </c>
    </row>
    <row r="140" spans="1:12" x14ac:dyDescent="0.25">
      <c r="A140" s="291"/>
      <c r="B140" s="292"/>
      <c r="C140" s="105" t="s">
        <v>36</v>
      </c>
      <c r="D140" s="105" t="s">
        <v>21</v>
      </c>
      <c r="E140" s="250">
        <v>0.13150000000000001</v>
      </c>
      <c r="F140" s="176" t="s">
        <v>119</v>
      </c>
      <c r="G140" s="257">
        <v>19.142499999999998</v>
      </c>
      <c r="H140" s="176" t="s">
        <v>37</v>
      </c>
      <c r="I140" s="258">
        <f>IF(ISNUMBER(G140),E140*G140,"")</f>
        <v>2.5172387499999997</v>
      </c>
      <c r="J140" s="295">
        <f>SUM(I140:I141)</f>
        <v>6.216211949999999</v>
      </c>
      <c r="K140" s="29"/>
      <c r="L140" s="174">
        <v>3</v>
      </c>
    </row>
    <row r="141" spans="1:12" x14ac:dyDescent="0.25">
      <c r="A141" s="291"/>
      <c r="B141" s="292"/>
      <c r="C141" s="105" t="s">
        <v>38</v>
      </c>
      <c r="D141" s="271" t="s">
        <v>21</v>
      </c>
      <c r="E141" s="250">
        <v>0.25819999999999999</v>
      </c>
      <c r="F141" s="176" t="s">
        <v>119</v>
      </c>
      <c r="G141" s="257">
        <v>14.325999999999999</v>
      </c>
      <c r="H141" s="176" t="s">
        <v>39</v>
      </c>
      <c r="I141" s="258">
        <f>IF(ISNUMBER(G141),E141*G141,"")</f>
        <v>3.6989731999999993</v>
      </c>
      <c r="J141" s="282"/>
      <c r="K141" s="35"/>
      <c r="L141" s="174">
        <v>3</v>
      </c>
    </row>
    <row r="142" spans="1:12" ht="15.75" thickBot="1" x14ac:dyDescent="0.3">
      <c r="A142" s="296"/>
      <c r="B142" s="297"/>
      <c r="C142" s="105"/>
      <c r="D142" s="105"/>
      <c r="E142" s="250"/>
      <c r="F142" s="176"/>
      <c r="G142" s="257" t="s">
        <v>1079</v>
      </c>
      <c r="H142" s="176"/>
      <c r="I142" s="257" t="str">
        <f>IF(ISNUMBER(G142),E142*G142,"")</f>
        <v/>
      </c>
      <c r="J142" s="281"/>
      <c r="K142" s="19"/>
      <c r="L142" s="174">
        <v>3</v>
      </c>
    </row>
    <row r="143" spans="1:12" ht="15.75" hidden="1" thickBot="1" x14ac:dyDescent="0.3">
      <c r="A143" s="180" t="s">
        <v>120</v>
      </c>
      <c r="B143" s="178" t="str">
        <f>INDEX(Orçamentária!A:B,MATCH(Composições!A143,Orçamentária!A:A,0),2)</f>
        <v>Remoção de laminado melamínico (LDAP), em PVC ou vinílico</v>
      </c>
      <c r="C143" s="30"/>
      <c r="D143" s="13" t="str">
        <f>TRIM(INDEX(Orçamentária!C:C,MATCH(Composições!A143,Orçamentária!A:A,0),1))</f>
        <v>m2</v>
      </c>
      <c r="E143" s="14"/>
      <c r="F143" s="15" t="s">
        <v>121</v>
      </c>
      <c r="G143" s="31" t="s">
        <v>1079</v>
      </c>
      <c r="H143" s="16"/>
      <c r="I143" s="16" t="str">
        <f>IF(ISNUMBER(G143),E143*G143,"")</f>
        <v/>
      </c>
      <c r="J143" s="17"/>
      <c r="K143" s="18"/>
      <c r="L143" s="174">
        <v>0</v>
      </c>
    </row>
    <row r="144" spans="1:12" ht="15.75" hidden="1" thickBot="1" x14ac:dyDescent="0.3">
      <c r="A144" s="181"/>
      <c r="B144" s="179"/>
      <c r="C144" s="20"/>
      <c r="D144" s="20"/>
      <c r="E144" s="21"/>
      <c r="F144" s="22"/>
      <c r="G144" s="32" t="s">
        <v>1079</v>
      </c>
      <c r="H144" s="20"/>
      <c r="I144" s="19" t="str">
        <f>IF(ISNUMBER(G144),E144*G144,"")</f>
        <v/>
      </c>
      <c r="J144" s="24"/>
      <c r="K144" s="19"/>
      <c r="L144" s="174">
        <v>0</v>
      </c>
    </row>
    <row r="145" spans="1:12" ht="15.75" hidden="1" thickBot="1" x14ac:dyDescent="0.3">
      <c r="A145" s="181"/>
      <c r="B145" s="179"/>
      <c r="C145" s="25" t="s">
        <v>36</v>
      </c>
      <c r="D145" s="25" t="s">
        <v>21</v>
      </c>
      <c r="E145" s="26">
        <v>0.09</v>
      </c>
      <c r="F145" s="27" t="s">
        <v>122</v>
      </c>
      <c r="G145" s="19">
        <v>19.142499999999998</v>
      </c>
      <c r="H145" s="27" t="s">
        <v>37</v>
      </c>
      <c r="I145" s="23">
        <f>IF(ISNUMBER(G145),E145*G145,"")</f>
        <v>1.7228249999999998</v>
      </c>
      <c r="J145" s="28">
        <f>SUM(I145:I146)</f>
        <v>14.616225</v>
      </c>
      <c r="K145" s="29"/>
      <c r="L145" s="174">
        <v>0</v>
      </c>
    </row>
    <row r="146" spans="1:12" ht="15.75" hidden="1" thickBot="1" x14ac:dyDescent="0.3">
      <c r="A146" s="181"/>
      <c r="B146" s="179"/>
      <c r="C146" s="25" t="s">
        <v>38</v>
      </c>
      <c r="D146" s="25" t="s">
        <v>21</v>
      </c>
      <c r="E146" s="26">
        <v>0.9</v>
      </c>
      <c r="F146" s="27" t="s">
        <v>122</v>
      </c>
      <c r="G146" s="19">
        <v>14.325999999999999</v>
      </c>
      <c r="H146" s="27" t="s">
        <v>39</v>
      </c>
      <c r="I146" s="23">
        <f>IF(ISNUMBER(G146),E146*G146,"")</f>
        <v>12.8934</v>
      </c>
      <c r="J146" s="24"/>
      <c r="K146" s="19"/>
      <c r="L146" s="174">
        <v>0</v>
      </c>
    </row>
    <row r="147" spans="1:12" ht="15.75" hidden="1" thickBot="1" x14ac:dyDescent="0.3">
      <c r="A147" s="182"/>
      <c r="B147" s="183"/>
      <c r="C147" s="25"/>
      <c r="D147" s="25"/>
      <c r="E147" s="26"/>
      <c r="F147" s="27"/>
      <c r="G147" s="19" t="s">
        <v>1079</v>
      </c>
      <c r="H147" s="27"/>
      <c r="I147" s="19" t="str">
        <f>IF(ISNUMBER(G147),E147*G147,"")</f>
        <v/>
      </c>
      <c r="J147" s="24"/>
      <c r="K147" s="19"/>
      <c r="L147" s="174">
        <v>0</v>
      </c>
    </row>
    <row r="148" spans="1:12" ht="15.75" thickBot="1" x14ac:dyDescent="0.3">
      <c r="A148" s="288" t="s">
        <v>123</v>
      </c>
      <c r="B148" s="289" t="str">
        <f>INDEX(Orçamentária!A:B,MATCH(Composições!A148,Orçamentária!A:A,0),2)</f>
        <v>Remoção de louças</v>
      </c>
      <c r="C148" s="274"/>
      <c r="D148" s="265" t="str">
        <f>TRIM(INDEX(Orçamentária!C:C,MATCH(Composições!A148,Orçamentária!A:A,0),1))</f>
        <v>un</v>
      </c>
      <c r="E148" s="290"/>
      <c r="F148" s="259" t="s">
        <v>124</v>
      </c>
      <c r="G148" s="260" t="s">
        <v>1079</v>
      </c>
      <c r="H148" s="261"/>
      <c r="I148" s="261" t="str">
        <f>IF(ISNUMBER(G148),E148*G148,"")</f>
        <v/>
      </c>
      <c r="J148" s="280"/>
      <c r="K148" s="18"/>
      <c r="L148" s="174">
        <v>1</v>
      </c>
    </row>
    <row r="149" spans="1:12" x14ac:dyDescent="0.25">
      <c r="A149" s="291"/>
      <c r="B149" s="292"/>
      <c r="C149" s="155"/>
      <c r="D149" s="155"/>
      <c r="E149" s="293"/>
      <c r="F149" s="294"/>
      <c r="G149" s="262" t="s">
        <v>1079</v>
      </c>
      <c r="H149" s="155"/>
      <c r="I149" s="257" t="str">
        <f>IF(ISNUMBER(G149),E149*G149,"")</f>
        <v/>
      </c>
      <c r="J149" s="281"/>
      <c r="K149" s="19"/>
      <c r="L149" s="174">
        <v>1</v>
      </c>
    </row>
    <row r="150" spans="1:12" x14ac:dyDescent="0.25">
      <c r="A150" s="291"/>
      <c r="B150" s="292"/>
      <c r="C150" s="105" t="s">
        <v>70</v>
      </c>
      <c r="D150" s="271" t="s">
        <v>21</v>
      </c>
      <c r="E150" s="250">
        <v>0.17549999999999999</v>
      </c>
      <c r="F150" s="176" t="s">
        <v>124</v>
      </c>
      <c r="G150" s="257">
        <v>18.743500000000001</v>
      </c>
      <c r="H150" s="176" t="s">
        <v>71</v>
      </c>
      <c r="I150" s="258">
        <f>IF(ISNUMBER(G150),E150*G150,"")</f>
        <v>3.2894842500000001</v>
      </c>
      <c r="J150" s="295">
        <f>SUM(I150:I151)</f>
        <v>8.2290890499999989</v>
      </c>
      <c r="K150" s="29"/>
      <c r="L150" s="174">
        <v>1</v>
      </c>
    </row>
    <row r="151" spans="1:12" x14ac:dyDescent="0.25">
      <c r="A151" s="291"/>
      <c r="B151" s="292"/>
      <c r="C151" s="105" t="s">
        <v>38</v>
      </c>
      <c r="D151" s="105" t="s">
        <v>21</v>
      </c>
      <c r="E151" s="250">
        <v>0.3448</v>
      </c>
      <c r="F151" s="176" t="s">
        <v>124</v>
      </c>
      <c r="G151" s="257">
        <v>14.325999999999999</v>
      </c>
      <c r="H151" s="176" t="s">
        <v>39</v>
      </c>
      <c r="I151" s="258">
        <f>IF(ISNUMBER(G151),E151*G151,"")</f>
        <v>4.9396047999999997</v>
      </c>
      <c r="J151" s="299"/>
      <c r="K151" s="29"/>
      <c r="L151" s="174">
        <v>1</v>
      </c>
    </row>
    <row r="152" spans="1:12" ht="15.75" thickBot="1" x14ac:dyDescent="0.3">
      <c r="A152" s="296"/>
      <c r="B152" s="297"/>
      <c r="C152" s="105"/>
      <c r="D152" s="105"/>
      <c r="E152" s="250"/>
      <c r="F152" s="176"/>
      <c r="G152" s="257" t="s">
        <v>1079</v>
      </c>
      <c r="H152" s="176"/>
      <c r="I152" s="257" t="str">
        <f>IF(ISNUMBER(G152),E152*G152,"")</f>
        <v/>
      </c>
      <c r="J152" s="281"/>
      <c r="K152" s="19"/>
      <c r="L152" s="174">
        <v>1</v>
      </c>
    </row>
    <row r="153" spans="1:12" ht="15.75" thickBot="1" x14ac:dyDescent="0.3">
      <c r="A153" s="288" t="s">
        <v>125</v>
      </c>
      <c r="B153" s="289" t="str">
        <f>INDEX(Orçamentária!A:B,MATCH(Composições!A153,Orçamentária!A:A,0),2)</f>
        <v>Remoção de luminária</v>
      </c>
      <c r="C153" s="274"/>
      <c r="D153" s="265" t="str">
        <f>TRIM(INDEX(Orçamentária!C:C,MATCH(Composições!A153,Orçamentária!A:A,0),1))</f>
        <v>un</v>
      </c>
      <c r="E153" s="290"/>
      <c r="F153" s="259" t="s">
        <v>126</v>
      </c>
      <c r="G153" s="260" t="s">
        <v>1079</v>
      </c>
      <c r="H153" s="261"/>
      <c r="I153" s="261" t="str">
        <f>IF(ISNUMBER(G153),E153*G153,"")</f>
        <v/>
      </c>
      <c r="J153" s="280"/>
      <c r="K153" s="18"/>
      <c r="L153" s="174">
        <v>17</v>
      </c>
    </row>
    <row r="154" spans="1:12" x14ac:dyDescent="0.25">
      <c r="A154" s="300"/>
      <c r="B154" s="292"/>
      <c r="C154" s="155"/>
      <c r="D154" s="155"/>
      <c r="E154" s="293"/>
      <c r="F154" s="294"/>
      <c r="G154" s="262" t="s">
        <v>1079</v>
      </c>
      <c r="H154" s="155"/>
      <c r="I154" s="257" t="str">
        <f>IF(ISNUMBER(G154),E154*G154,"")</f>
        <v/>
      </c>
      <c r="J154" s="281"/>
      <c r="K154" s="19"/>
      <c r="L154" s="174">
        <v>17</v>
      </c>
    </row>
    <row r="155" spans="1:12" x14ac:dyDescent="0.25">
      <c r="A155" s="300"/>
      <c r="B155" s="292"/>
      <c r="C155" s="105" t="s">
        <v>54</v>
      </c>
      <c r="D155" s="271" t="s">
        <v>21</v>
      </c>
      <c r="E155" s="250">
        <f>0.0183*5</f>
        <v>9.1499999999999998E-2</v>
      </c>
      <c r="F155" s="176" t="s">
        <v>126</v>
      </c>
      <c r="G155" s="257">
        <v>19.313499999999998</v>
      </c>
      <c r="H155" s="176" t="s">
        <v>55</v>
      </c>
      <c r="I155" s="258">
        <f>IF(ISNUMBER(G155),E155*G155,"")</f>
        <v>1.7671852499999998</v>
      </c>
      <c r="J155" s="295">
        <f>SUM(I155:I156)</f>
        <v>4.338702249999999</v>
      </c>
      <c r="K155" s="29"/>
      <c r="L155" s="174">
        <v>17</v>
      </c>
    </row>
    <row r="156" spans="1:12" x14ac:dyDescent="0.25">
      <c r="A156" s="300"/>
      <c r="B156" s="292"/>
      <c r="C156" s="105" t="s">
        <v>38</v>
      </c>
      <c r="D156" s="271" t="s">
        <v>21</v>
      </c>
      <c r="E156" s="250">
        <f>0.0359*5</f>
        <v>0.17949999999999999</v>
      </c>
      <c r="F156" s="176" t="s">
        <v>126</v>
      </c>
      <c r="G156" s="257">
        <v>14.325999999999999</v>
      </c>
      <c r="H156" s="176" t="s">
        <v>39</v>
      </c>
      <c r="I156" s="258">
        <f>IF(ISNUMBER(G156),E156*G156,"")</f>
        <v>2.5715169999999996</v>
      </c>
      <c r="J156" s="282"/>
      <c r="K156" s="35"/>
      <c r="L156" s="174">
        <v>17</v>
      </c>
    </row>
    <row r="157" spans="1:12" x14ac:dyDescent="0.25">
      <c r="A157" s="300"/>
      <c r="B157" s="292"/>
      <c r="C157" s="105"/>
      <c r="D157" s="105"/>
      <c r="E157" s="250"/>
      <c r="F157" s="176"/>
      <c r="G157" s="257" t="s">
        <v>1079</v>
      </c>
      <c r="H157" s="176"/>
      <c r="I157" s="257" t="str">
        <f>IF(ISNUMBER(G157),E157*G157,"")</f>
        <v/>
      </c>
      <c r="J157" s="281"/>
      <c r="K157" s="19"/>
      <c r="L157" s="174">
        <v>17</v>
      </c>
    </row>
    <row r="158" spans="1:12" x14ac:dyDescent="0.25">
      <c r="A158" s="300"/>
      <c r="B158" s="292"/>
      <c r="C158" s="2" t="s">
        <v>127</v>
      </c>
      <c r="D158" s="105"/>
      <c r="E158" s="250"/>
      <c r="F158" s="176"/>
      <c r="G158" s="257" t="s">
        <v>1079</v>
      </c>
      <c r="H158" s="176"/>
      <c r="I158" s="257" t="str">
        <f>IF(ISNUMBER(G158),E158*G158,"")</f>
        <v/>
      </c>
      <c r="J158" s="281"/>
      <c r="K158" s="19"/>
      <c r="L158" s="174">
        <v>17</v>
      </c>
    </row>
    <row r="159" spans="1:12" ht="15.75" thickBot="1" x14ac:dyDescent="0.3">
      <c r="A159" s="301"/>
      <c r="B159" s="297"/>
      <c r="C159" s="105"/>
      <c r="D159" s="105"/>
      <c r="E159" s="250"/>
      <c r="F159" s="176"/>
      <c r="G159" s="257" t="s">
        <v>1079</v>
      </c>
      <c r="H159" s="176"/>
      <c r="I159" s="257" t="str">
        <f>IF(ISNUMBER(G159),E159*G159,"")</f>
        <v/>
      </c>
      <c r="J159" s="281"/>
      <c r="K159" s="19"/>
      <c r="L159" s="174">
        <v>17</v>
      </c>
    </row>
    <row r="160" spans="1:12" ht="15.75" thickBot="1" x14ac:dyDescent="0.3">
      <c r="A160" s="288" t="s">
        <v>128</v>
      </c>
      <c r="B160" s="289" t="str">
        <f>INDEX(Orçamentária!A:B,MATCH(Composições!A160,Orçamentária!A:A,0),2)</f>
        <v>Remoção de metais e acessórios</v>
      </c>
      <c r="C160" s="274"/>
      <c r="D160" s="265" t="str">
        <f>TRIM(INDEX(Orçamentária!C:C,MATCH(Composições!A160,Orçamentária!A:A,0),1))</f>
        <v>un</v>
      </c>
      <c r="E160" s="290"/>
      <c r="F160" s="259" t="s">
        <v>129</v>
      </c>
      <c r="G160" s="260" t="s">
        <v>1079</v>
      </c>
      <c r="H160" s="261"/>
      <c r="I160" s="261" t="str">
        <f>IF(ISNUMBER(G160),E160*G160,"")</f>
        <v/>
      </c>
      <c r="J160" s="280"/>
      <c r="K160" s="18"/>
      <c r="L160" s="174">
        <v>8</v>
      </c>
    </row>
    <row r="161" spans="1:12" x14ac:dyDescent="0.25">
      <c r="A161" s="291"/>
      <c r="B161" s="292"/>
      <c r="C161" s="155"/>
      <c r="D161" s="155"/>
      <c r="E161" s="293"/>
      <c r="F161" s="294"/>
      <c r="G161" s="262" t="s">
        <v>1079</v>
      </c>
      <c r="H161" s="155"/>
      <c r="I161" s="257" t="str">
        <f>IF(ISNUMBER(G161),E161*G161,"")</f>
        <v/>
      </c>
      <c r="J161" s="281"/>
      <c r="K161" s="19"/>
      <c r="L161" s="174">
        <v>8</v>
      </c>
    </row>
    <row r="162" spans="1:12" x14ac:dyDescent="0.25">
      <c r="A162" s="291"/>
      <c r="B162" s="292"/>
      <c r="C162" s="105" t="s">
        <v>70</v>
      </c>
      <c r="D162" s="271" t="s">
        <v>21</v>
      </c>
      <c r="E162" s="250">
        <v>0.128</v>
      </c>
      <c r="F162" s="176" t="s">
        <v>129</v>
      </c>
      <c r="G162" s="257">
        <v>18.743500000000001</v>
      </c>
      <c r="H162" s="176" t="s">
        <v>71</v>
      </c>
      <c r="I162" s="258">
        <f>IF(ISNUMBER(G162),E162*G162,"")</f>
        <v>2.399168</v>
      </c>
      <c r="J162" s="295">
        <f>SUM(I162:I163)</f>
        <v>6.0007243999999993</v>
      </c>
      <c r="K162" s="29"/>
      <c r="L162" s="174">
        <v>8</v>
      </c>
    </row>
    <row r="163" spans="1:12" x14ac:dyDescent="0.25">
      <c r="A163" s="291"/>
      <c r="B163" s="292"/>
      <c r="C163" s="105" t="s">
        <v>38</v>
      </c>
      <c r="D163" s="105" t="s">
        <v>21</v>
      </c>
      <c r="E163" s="250">
        <v>0.25140000000000001</v>
      </c>
      <c r="F163" s="176" t="s">
        <v>129</v>
      </c>
      <c r="G163" s="257">
        <v>14.325999999999999</v>
      </c>
      <c r="H163" s="176" t="s">
        <v>39</v>
      </c>
      <c r="I163" s="258">
        <f>IF(ISNUMBER(G163),E163*G163,"")</f>
        <v>3.6015563999999998</v>
      </c>
      <c r="J163" s="299"/>
      <c r="K163" s="29"/>
      <c r="L163" s="174">
        <v>8</v>
      </c>
    </row>
    <row r="164" spans="1:12" ht="15.75" thickBot="1" x14ac:dyDescent="0.3">
      <c r="A164" s="296"/>
      <c r="B164" s="297"/>
      <c r="C164" s="105"/>
      <c r="D164" s="105"/>
      <c r="E164" s="250"/>
      <c r="F164" s="176"/>
      <c r="G164" s="257" t="s">
        <v>1079</v>
      </c>
      <c r="H164" s="176"/>
      <c r="I164" s="257" t="str">
        <f>IF(ISNUMBER(G164),E164*G164,"")</f>
        <v/>
      </c>
      <c r="J164" s="281"/>
      <c r="K164" s="19"/>
      <c r="L164" s="174">
        <v>8</v>
      </c>
    </row>
    <row r="165" spans="1:12" ht="15.75" hidden="1" thickBot="1" x14ac:dyDescent="0.3">
      <c r="A165" s="180" t="s">
        <v>130</v>
      </c>
      <c r="B165" s="178" t="str">
        <f>INDEX(Orçamentária!A:B,MATCH(Composições!A165,Orçamentária!A:A,0),2)</f>
        <v>Remoção de painéis de vidro temperado</v>
      </c>
      <c r="C165" s="30"/>
      <c r="D165" s="13" t="str">
        <f>TRIM(INDEX(Orçamentária!C:C,MATCH(Composições!A165,Orçamentária!A:A,0),1))</f>
        <v>m2</v>
      </c>
      <c r="E165" s="14"/>
      <c r="F165" s="15" t="s">
        <v>131</v>
      </c>
      <c r="G165" s="31" t="s">
        <v>1079</v>
      </c>
      <c r="H165" s="16"/>
      <c r="I165" s="16" t="str">
        <f>IF(ISNUMBER(G165),E165*G165,"")</f>
        <v/>
      </c>
      <c r="J165" s="17"/>
      <c r="K165" s="18"/>
      <c r="L165" s="174">
        <v>0</v>
      </c>
    </row>
    <row r="166" spans="1:12" ht="15.75" hidden="1" thickBot="1" x14ac:dyDescent="0.3">
      <c r="A166" s="181"/>
      <c r="B166" s="179"/>
      <c r="C166" s="20"/>
      <c r="D166" s="20"/>
      <c r="E166" s="21"/>
      <c r="F166" s="22"/>
      <c r="G166" s="32" t="s">
        <v>1079</v>
      </c>
      <c r="H166" s="20"/>
      <c r="I166" s="19" t="str">
        <f>IF(ISNUMBER(G166),E166*G166,"")</f>
        <v/>
      </c>
      <c r="J166" s="24"/>
      <c r="K166" s="19"/>
      <c r="L166" s="174">
        <v>0</v>
      </c>
    </row>
    <row r="167" spans="1:12" ht="15.75" hidden="1" thickBot="1" x14ac:dyDescent="0.3">
      <c r="A167" s="181"/>
      <c r="B167" s="179"/>
      <c r="C167" s="25" t="s">
        <v>38</v>
      </c>
      <c r="D167" s="25" t="s">
        <v>21</v>
      </c>
      <c r="E167" s="26">
        <v>0.35</v>
      </c>
      <c r="F167" s="27" t="s">
        <v>132</v>
      </c>
      <c r="G167" s="19">
        <v>14.325999999999999</v>
      </c>
      <c r="H167" s="27" t="s">
        <v>39</v>
      </c>
      <c r="I167" s="23">
        <f>IF(ISNUMBER(G167),E167*G167,"")</f>
        <v>5.0140999999999991</v>
      </c>
      <c r="J167" s="28">
        <f>SUM(I167:I168)</f>
        <v>11.713974999999998</v>
      </c>
      <c r="K167" s="29"/>
      <c r="L167" s="174">
        <v>0</v>
      </c>
    </row>
    <row r="168" spans="1:12" ht="15.75" hidden="1" thickBot="1" x14ac:dyDescent="0.3">
      <c r="A168" s="181"/>
      <c r="B168" s="179"/>
      <c r="C168" s="25" t="s">
        <v>36</v>
      </c>
      <c r="D168" s="25" t="s">
        <v>21</v>
      </c>
      <c r="E168" s="26">
        <v>0.35</v>
      </c>
      <c r="F168" s="27" t="s">
        <v>132</v>
      </c>
      <c r="G168" s="19">
        <v>19.142499999999998</v>
      </c>
      <c r="H168" s="27" t="s">
        <v>37</v>
      </c>
      <c r="I168" s="23">
        <f>IF(ISNUMBER(G168),E168*G168,"")</f>
        <v>6.6998749999999987</v>
      </c>
      <c r="J168" s="24"/>
      <c r="K168" s="19"/>
      <c r="L168" s="174">
        <v>0</v>
      </c>
    </row>
    <row r="169" spans="1:12" ht="15.75" hidden="1" thickBot="1" x14ac:dyDescent="0.3">
      <c r="A169" s="182"/>
      <c r="B169" s="183"/>
      <c r="C169" s="25"/>
      <c r="D169" s="25"/>
      <c r="E169" s="26"/>
      <c r="F169" s="27"/>
      <c r="G169" s="19" t="s">
        <v>1079</v>
      </c>
      <c r="H169" s="27"/>
      <c r="I169" s="19" t="str">
        <f>IF(ISNUMBER(G169),E169*G169,"")</f>
        <v/>
      </c>
      <c r="J169" s="24"/>
      <c r="K169" s="19"/>
      <c r="L169" s="174">
        <v>0</v>
      </c>
    </row>
    <row r="170" spans="1:12" ht="15.75" hidden="1" thickBot="1" x14ac:dyDescent="0.3">
      <c r="A170" s="180" t="s">
        <v>133</v>
      </c>
      <c r="B170" s="178" t="str">
        <f>INDEX(Orçamentária!A:B,MATCH(Composições!A170,Orçamentária!A:A,0),2)</f>
        <v>Remoção de película</v>
      </c>
      <c r="C170" s="30"/>
      <c r="D170" s="13" t="str">
        <f>TRIM(INDEX(Orçamentária!C:C,MATCH(Composições!A170,Orçamentária!A:A,0),1))</f>
        <v>m2</v>
      </c>
      <c r="E170" s="14"/>
      <c r="F170" s="15" t="s">
        <v>17</v>
      </c>
      <c r="G170" s="31" t="s">
        <v>1079</v>
      </c>
      <c r="H170" s="16"/>
      <c r="I170" s="16" t="str">
        <f>IF(ISNUMBER(G170),E170*G170,"")</f>
        <v/>
      </c>
      <c r="J170" s="17"/>
      <c r="K170" s="18"/>
      <c r="L170" s="174">
        <v>0</v>
      </c>
    </row>
    <row r="171" spans="1:12" ht="15.75" hidden="1" thickBot="1" x14ac:dyDescent="0.3">
      <c r="A171" s="181"/>
      <c r="B171" s="179"/>
      <c r="C171" s="20"/>
      <c r="D171" s="20"/>
      <c r="E171" s="21"/>
      <c r="F171" s="22"/>
      <c r="G171" s="32" t="s">
        <v>1079</v>
      </c>
      <c r="H171" s="20"/>
      <c r="I171" s="19" t="str">
        <f>IF(ISNUMBER(G171),E171*G171,"")</f>
        <v/>
      </c>
      <c r="J171" s="24"/>
      <c r="K171" s="19"/>
      <c r="L171" s="174">
        <v>0</v>
      </c>
    </row>
    <row r="172" spans="1:12" ht="15.75" hidden="1" thickBot="1" x14ac:dyDescent="0.3">
      <c r="A172" s="181"/>
      <c r="B172" s="179"/>
      <c r="C172" s="25" t="s">
        <v>134</v>
      </c>
      <c r="D172" s="25" t="s">
        <v>21</v>
      </c>
      <c r="E172" s="26">
        <v>0.4</v>
      </c>
      <c r="F172" s="27" t="s">
        <v>17</v>
      </c>
      <c r="G172" s="19">
        <v>17.850499999999997</v>
      </c>
      <c r="H172" s="27" t="s">
        <v>135</v>
      </c>
      <c r="I172" s="23">
        <f>IF(ISNUMBER(G172),E172*G172,"")</f>
        <v>7.1401999999999992</v>
      </c>
      <c r="J172" s="28">
        <f>SUM(I172:I172)</f>
        <v>7.1401999999999992</v>
      </c>
      <c r="K172" s="29"/>
      <c r="L172" s="174">
        <v>0</v>
      </c>
    </row>
    <row r="173" spans="1:12" ht="15.75" hidden="1" thickBot="1" x14ac:dyDescent="0.3">
      <c r="A173" s="182"/>
      <c r="B173" s="183"/>
      <c r="C173" s="25"/>
      <c r="D173" s="25"/>
      <c r="E173" s="26"/>
      <c r="F173" s="27"/>
      <c r="G173" s="19" t="s">
        <v>1079</v>
      </c>
      <c r="H173" s="27"/>
      <c r="I173" s="19" t="str">
        <f>IF(ISNUMBER(G173),E173*G173,"")</f>
        <v/>
      </c>
      <c r="J173" s="24"/>
      <c r="K173" s="19"/>
      <c r="L173" s="174">
        <v>0</v>
      </c>
    </row>
    <row r="174" spans="1:12" ht="15.75" hidden="1" thickBot="1" x14ac:dyDescent="0.3">
      <c r="A174" s="180" t="s">
        <v>136</v>
      </c>
      <c r="B174" s="178" t="str">
        <f>INDEX(Orçamentária!A:B,MATCH(Composições!A174,Orçamentária!A:A,0),2)</f>
        <v>Remoção de persianas</v>
      </c>
      <c r="C174" s="30"/>
      <c r="D174" s="13" t="str">
        <f>TRIM(INDEX(Orçamentária!C:C,MATCH(Composições!A174,Orçamentária!A:A,0),1))</f>
        <v>m</v>
      </c>
      <c r="E174" s="14"/>
      <c r="F174" s="15" t="s">
        <v>17</v>
      </c>
      <c r="G174" s="31" t="s">
        <v>1079</v>
      </c>
      <c r="H174" s="16"/>
      <c r="I174" s="16" t="str">
        <f>IF(ISNUMBER(G174),E174*G174,"")</f>
        <v/>
      </c>
      <c r="J174" s="17"/>
      <c r="K174" s="18"/>
      <c r="L174" s="174">
        <v>0</v>
      </c>
    </row>
    <row r="175" spans="1:12" ht="15.75" hidden="1" thickBot="1" x14ac:dyDescent="0.3">
      <c r="A175" s="181"/>
      <c r="B175" s="179"/>
      <c r="C175" s="20"/>
      <c r="D175" s="20"/>
      <c r="E175" s="21"/>
      <c r="F175" s="22"/>
      <c r="G175" s="32" t="s">
        <v>1079</v>
      </c>
      <c r="H175" s="20"/>
      <c r="I175" s="19" t="str">
        <f>IF(ISNUMBER(G175),E175*G175,"")</f>
        <v/>
      </c>
      <c r="J175" s="24"/>
      <c r="K175" s="19"/>
      <c r="L175" s="174">
        <v>0</v>
      </c>
    </row>
    <row r="176" spans="1:12" ht="15.75" hidden="1" thickBot="1" x14ac:dyDescent="0.3">
      <c r="A176" s="181"/>
      <c r="B176" s="179"/>
      <c r="C176" s="25" t="s">
        <v>92</v>
      </c>
      <c r="D176" s="25" t="s">
        <v>21</v>
      </c>
      <c r="E176" s="26">
        <f>ROUND(1/6,4)</f>
        <v>0.16669999999999999</v>
      </c>
      <c r="F176" s="27" t="s">
        <v>17</v>
      </c>
      <c r="G176" s="19">
        <v>16.881499999999999</v>
      </c>
      <c r="H176" s="27" t="s">
        <v>93</v>
      </c>
      <c r="I176" s="23">
        <f>IF(ISNUMBER(G176),E176*G176,"")</f>
        <v>2.8141460499999997</v>
      </c>
      <c r="J176" s="28">
        <f>SUM(I176:I176)</f>
        <v>2.8141460499999997</v>
      </c>
      <c r="K176" s="29"/>
      <c r="L176" s="174">
        <v>0</v>
      </c>
    </row>
    <row r="177" spans="1:12" ht="15.75" hidden="1" thickBot="1" x14ac:dyDescent="0.3">
      <c r="A177" s="182"/>
      <c r="B177" s="183"/>
      <c r="C177" s="25"/>
      <c r="D177" s="25"/>
      <c r="E177" s="26"/>
      <c r="F177" s="27"/>
      <c r="G177" s="19" t="s">
        <v>1079</v>
      </c>
      <c r="H177" s="27"/>
      <c r="I177" s="19" t="str">
        <f>IF(ISNUMBER(G177),E177*G177,"")</f>
        <v/>
      </c>
      <c r="J177" s="24"/>
      <c r="K177" s="19"/>
      <c r="L177" s="174">
        <v>0</v>
      </c>
    </row>
    <row r="178" spans="1:12" ht="15.75" hidden="1" thickBot="1" x14ac:dyDescent="0.3">
      <c r="A178" s="180" t="s">
        <v>137</v>
      </c>
      <c r="B178" s="178" t="str">
        <f>INDEX(Orçamentária!A:B,MATCH(Composições!A178,Orçamentária!A:A,0),2)</f>
        <v>Remoção de pintura ou textura</v>
      </c>
      <c r="C178" s="30"/>
      <c r="D178" s="13" t="str">
        <f>TRIM(INDEX(Orçamentária!C:C,MATCH(Composições!A178,Orçamentária!A:A,0),1))</f>
        <v>m2</v>
      </c>
      <c r="E178" s="14"/>
      <c r="F178" s="15" t="s">
        <v>138</v>
      </c>
      <c r="G178" s="31" t="s">
        <v>1079</v>
      </c>
      <c r="H178" s="16"/>
      <c r="I178" s="16" t="str">
        <f>IF(ISNUMBER(G178),E178*G178,"")</f>
        <v/>
      </c>
      <c r="J178" s="17"/>
      <c r="K178" s="18"/>
      <c r="L178" s="174">
        <v>0</v>
      </c>
    </row>
    <row r="179" spans="1:12" ht="15.75" hidden="1" thickBot="1" x14ac:dyDescent="0.3">
      <c r="A179" s="181"/>
      <c r="B179" s="179"/>
      <c r="C179" s="20"/>
      <c r="D179" s="20"/>
      <c r="E179" s="21"/>
      <c r="F179" s="22"/>
      <c r="G179" s="32" t="s">
        <v>1079</v>
      </c>
      <c r="H179" s="20"/>
      <c r="I179" s="19" t="str">
        <f>IF(ISNUMBER(G179),E179*G179,"")</f>
        <v/>
      </c>
      <c r="J179" s="24"/>
      <c r="K179" s="19"/>
      <c r="L179" s="174">
        <v>0</v>
      </c>
    </row>
    <row r="180" spans="1:12" ht="15.75" hidden="1" thickBot="1" x14ac:dyDescent="0.3">
      <c r="A180" s="181"/>
      <c r="B180" s="179"/>
      <c r="C180" s="25" t="s">
        <v>38</v>
      </c>
      <c r="D180" s="25" t="s">
        <v>21</v>
      </c>
      <c r="E180" s="26">
        <v>0.4</v>
      </c>
      <c r="F180" s="27" t="s">
        <v>139</v>
      </c>
      <c r="G180" s="19">
        <v>14.325999999999999</v>
      </c>
      <c r="H180" s="27" t="s">
        <v>39</v>
      </c>
      <c r="I180" s="23">
        <f>IF(ISNUMBER(G180),E180*G180,"")</f>
        <v>5.7303999999999995</v>
      </c>
      <c r="J180" s="28">
        <f>SUM(I180:I180)</f>
        <v>5.7303999999999995</v>
      </c>
      <c r="K180" s="29"/>
      <c r="L180" s="174">
        <v>0</v>
      </c>
    </row>
    <row r="181" spans="1:12" ht="15.75" hidden="1" thickBot="1" x14ac:dyDescent="0.3">
      <c r="A181" s="182"/>
      <c r="B181" s="183"/>
      <c r="C181" s="25"/>
      <c r="D181" s="25"/>
      <c r="E181" s="26"/>
      <c r="F181" s="27"/>
      <c r="G181" s="19" t="s">
        <v>1079</v>
      </c>
      <c r="H181" s="27"/>
      <c r="I181" s="19" t="str">
        <f>IF(ISNUMBER(G181),E181*G181,"")</f>
        <v/>
      </c>
      <c r="J181" s="24"/>
      <c r="K181" s="19"/>
      <c r="L181" s="174">
        <v>0</v>
      </c>
    </row>
    <row r="182" spans="1:12" ht="15.75" hidden="1" thickBot="1" x14ac:dyDescent="0.3">
      <c r="A182" s="180" t="s">
        <v>140</v>
      </c>
      <c r="B182" s="178" t="str">
        <f>INDEX(Orçamentária!A:B,MATCH(Composições!A182,Orçamentária!A:A,0),2)</f>
        <v>Remoção de placas de forro</v>
      </c>
      <c r="C182" s="30"/>
      <c r="D182" s="13" t="str">
        <f>TRIM(INDEX(Orçamentária!C:C,MATCH(Composições!A182,Orçamentária!A:A,0),1))</f>
        <v>m2</v>
      </c>
      <c r="E182" s="14"/>
      <c r="F182" s="15" t="s">
        <v>141</v>
      </c>
      <c r="G182" s="31" t="s">
        <v>1079</v>
      </c>
      <c r="H182" s="16"/>
      <c r="I182" s="16" t="str">
        <f>IF(ISNUMBER(G182),E182*G182,"")</f>
        <v/>
      </c>
      <c r="J182" s="17"/>
      <c r="K182" s="18"/>
      <c r="L182" s="174">
        <v>0</v>
      </c>
    </row>
    <row r="183" spans="1:12" ht="15.75" hidden="1" thickBot="1" x14ac:dyDescent="0.3">
      <c r="A183" s="181"/>
      <c r="B183" s="179"/>
      <c r="C183" s="20"/>
      <c r="D183" s="20"/>
      <c r="E183" s="21"/>
      <c r="F183" s="22"/>
      <c r="G183" s="32" t="s">
        <v>1079</v>
      </c>
      <c r="H183" s="20"/>
      <c r="I183" s="19" t="str">
        <f>IF(ISNUMBER(G183),E183*G183,"")</f>
        <v/>
      </c>
      <c r="J183" s="24"/>
      <c r="K183" s="19"/>
      <c r="L183" s="174">
        <v>0</v>
      </c>
    </row>
    <row r="184" spans="1:12" ht="15.75" hidden="1" thickBot="1" x14ac:dyDescent="0.3">
      <c r="A184" s="181"/>
      <c r="B184" s="179"/>
      <c r="C184" s="25" t="s">
        <v>48</v>
      </c>
      <c r="D184" s="25" t="s">
        <v>21</v>
      </c>
      <c r="E184" s="26">
        <f>0.0258*3</f>
        <v>7.7399999999999997E-2</v>
      </c>
      <c r="F184" s="27" t="s">
        <v>141</v>
      </c>
      <c r="G184" s="19">
        <v>14.715499999999999</v>
      </c>
      <c r="H184" s="27" t="s">
        <v>49</v>
      </c>
      <c r="I184" s="23">
        <f>IF(ISNUMBER(G184),E184*G184,"")</f>
        <v>1.1389796999999999</v>
      </c>
      <c r="J184" s="28">
        <f>SUM(I184:I185)</f>
        <v>3.3179642999999999</v>
      </c>
      <c r="K184" s="29"/>
      <c r="L184" s="174">
        <v>0</v>
      </c>
    </row>
    <row r="185" spans="1:12" ht="15.75" hidden="1" thickBot="1" x14ac:dyDescent="0.3">
      <c r="A185" s="181"/>
      <c r="B185" s="179"/>
      <c r="C185" s="25" t="s">
        <v>38</v>
      </c>
      <c r="D185" s="25" t="s">
        <v>21</v>
      </c>
      <c r="E185" s="26">
        <f>0.0507*3</f>
        <v>0.15210000000000001</v>
      </c>
      <c r="F185" s="27" t="s">
        <v>141</v>
      </c>
      <c r="G185" s="19">
        <v>14.325999999999999</v>
      </c>
      <c r="H185" s="27" t="s">
        <v>39</v>
      </c>
      <c r="I185" s="23">
        <f>IF(ISNUMBER(G185),E185*G185,"")</f>
        <v>2.1789846000000002</v>
      </c>
      <c r="J185" s="24"/>
      <c r="K185" s="19"/>
      <c r="L185" s="174">
        <v>0</v>
      </c>
    </row>
    <row r="186" spans="1:12" ht="15.75" hidden="1" thickBot="1" x14ac:dyDescent="0.3">
      <c r="A186" s="181"/>
      <c r="B186" s="179"/>
      <c r="C186" s="25"/>
      <c r="D186" s="25"/>
      <c r="E186" s="26"/>
      <c r="F186" s="27"/>
      <c r="G186" s="19" t="s">
        <v>1079</v>
      </c>
      <c r="H186" s="27"/>
      <c r="I186" s="23" t="str">
        <f>IF(ISNUMBER(G186),E186*G186,"")</f>
        <v/>
      </c>
      <c r="J186" s="24"/>
      <c r="K186" s="19"/>
      <c r="L186" s="174">
        <v>0</v>
      </c>
    </row>
    <row r="187" spans="1:12" ht="15.75" hidden="1" thickBot="1" x14ac:dyDescent="0.3">
      <c r="A187" s="181"/>
      <c r="B187" s="179"/>
      <c r="C187" s="39" t="s">
        <v>142</v>
      </c>
      <c r="D187" s="25"/>
      <c r="E187" s="26"/>
      <c r="F187" s="27"/>
      <c r="G187" s="19" t="s">
        <v>1079</v>
      </c>
      <c r="H187" s="27"/>
      <c r="I187" s="23" t="str">
        <f>IF(ISNUMBER(G187),E187*G187,"")</f>
        <v/>
      </c>
      <c r="J187" s="24"/>
      <c r="K187" s="19"/>
      <c r="L187" s="174">
        <v>0</v>
      </c>
    </row>
    <row r="188" spans="1:12" ht="15.75" hidden="1" thickBot="1" x14ac:dyDescent="0.3">
      <c r="A188" s="182"/>
      <c r="B188" s="183"/>
      <c r="C188" s="25"/>
      <c r="D188" s="25"/>
      <c r="E188" s="26"/>
      <c r="F188" s="27"/>
      <c r="G188" s="19" t="s">
        <v>1079</v>
      </c>
      <c r="H188" s="27"/>
      <c r="I188" s="19" t="str">
        <f>IF(ISNUMBER(G188),E188*G188,"")</f>
        <v/>
      </c>
      <c r="J188" s="24"/>
      <c r="K188" s="19"/>
      <c r="L188" s="174">
        <v>0</v>
      </c>
    </row>
    <row r="189" spans="1:12" ht="15.75" thickBot="1" x14ac:dyDescent="0.3">
      <c r="A189" s="288" t="s">
        <v>143</v>
      </c>
      <c r="B189" s="289" t="str">
        <f>INDEX(Orçamentária!A:B,MATCH(Composições!A189,Orçamentária!A:A,0),2)</f>
        <v>Remoção de quadros de elétricos ou de telecomunicações</v>
      </c>
      <c r="C189" s="274"/>
      <c r="D189" s="265" t="str">
        <f>TRIM(INDEX(Orçamentária!C:C,MATCH(Composições!A189,Orçamentária!A:A,0),1))</f>
        <v>un</v>
      </c>
      <c r="E189" s="290"/>
      <c r="F189" s="259" t="s">
        <v>17</v>
      </c>
      <c r="G189" s="260" t="s">
        <v>1079</v>
      </c>
      <c r="H189" s="261"/>
      <c r="I189" s="261" t="str">
        <f>IF(ISNUMBER(G189),E189*G189,"")</f>
        <v/>
      </c>
      <c r="J189" s="280"/>
      <c r="K189" s="18"/>
      <c r="L189" s="174">
        <v>1</v>
      </c>
    </row>
    <row r="190" spans="1:12" x14ac:dyDescent="0.25">
      <c r="A190" s="291"/>
      <c r="B190" s="292"/>
      <c r="C190" s="155"/>
      <c r="D190" s="155"/>
      <c r="E190" s="293"/>
      <c r="F190" s="294"/>
      <c r="G190" s="262" t="s">
        <v>1079</v>
      </c>
      <c r="H190" s="155"/>
      <c r="I190" s="257" t="str">
        <f>IF(ISNUMBER(G190),E190*G190,"")</f>
        <v/>
      </c>
      <c r="J190" s="281"/>
      <c r="K190" s="19"/>
      <c r="L190" s="174">
        <v>1</v>
      </c>
    </row>
    <row r="191" spans="1:12" x14ac:dyDescent="0.25">
      <c r="A191" s="291"/>
      <c r="B191" s="292"/>
      <c r="C191" s="105" t="s">
        <v>144</v>
      </c>
      <c r="D191" s="105" t="s">
        <v>21</v>
      </c>
      <c r="E191" s="250">
        <v>0.5</v>
      </c>
      <c r="F191" s="302" t="s">
        <v>17</v>
      </c>
      <c r="G191" s="257">
        <v>15.218999999999999</v>
      </c>
      <c r="H191" s="176" t="s">
        <v>145</v>
      </c>
      <c r="I191" s="258">
        <f>IF(ISNUMBER(G191),E191*G191,"")</f>
        <v>7.6094999999999997</v>
      </c>
      <c r="J191" s="295">
        <f>SUM(I191:I194)</f>
        <v>50.734749999999998</v>
      </c>
      <c r="K191" s="29"/>
      <c r="L191" s="174">
        <v>1</v>
      </c>
    </row>
    <row r="192" spans="1:12" x14ac:dyDescent="0.25">
      <c r="A192" s="291"/>
      <c r="B192" s="292"/>
      <c r="C192" s="105" t="s">
        <v>54</v>
      </c>
      <c r="D192" s="105" t="s">
        <v>21</v>
      </c>
      <c r="E192" s="250">
        <v>0.5</v>
      </c>
      <c r="F192" s="302" t="s">
        <v>17</v>
      </c>
      <c r="G192" s="257">
        <v>19.313499999999998</v>
      </c>
      <c r="H192" s="176" t="s">
        <v>55</v>
      </c>
      <c r="I192" s="258">
        <f>IF(ISNUMBER(G192),E192*G192,"")</f>
        <v>9.6567499999999988</v>
      </c>
      <c r="J192" s="281"/>
      <c r="K192" s="19"/>
      <c r="L192" s="174">
        <v>1</v>
      </c>
    </row>
    <row r="193" spans="1:12" x14ac:dyDescent="0.25">
      <c r="A193" s="291"/>
      <c r="B193" s="292"/>
      <c r="C193" s="105" t="s">
        <v>36</v>
      </c>
      <c r="D193" s="105" t="s">
        <v>21</v>
      </c>
      <c r="E193" s="250">
        <v>1</v>
      </c>
      <c r="F193" s="176" t="s">
        <v>146</v>
      </c>
      <c r="G193" s="257">
        <v>19.142499999999998</v>
      </c>
      <c r="H193" s="176" t="s">
        <v>37</v>
      </c>
      <c r="I193" s="258">
        <f>IF(ISNUMBER(G193),E193*G193,"")</f>
        <v>19.142499999999998</v>
      </c>
      <c r="J193" s="281"/>
      <c r="K193" s="19"/>
      <c r="L193" s="174">
        <v>1</v>
      </c>
    </row>
    <row r="194" spans="1:12" x14ac:dyDescent="0.25">
      <c r="A194" s="291"/>
      <c r="B194" s="292"/>
      <c r="C194" s="105" t="s">
        <v>38</v>
      </c>
      <c r="D194" s="105" t="s">
        <v>21</v>
      </c>
      <c r="E194" s="250">
        <v>1</v>
      </c>
      <c r="F194" s="176" t="s">
        <v>146</v>
      </c>
      <c r="G194" s="257">
        <v>14.325999999999999</v>
      </c>
      <c r="H194" s="176" t="s">
        <v>39</v>
      </c>
      <c r="I194" s="258">
        <f>IF(ISNUMBER(G194),E194*G194,"")</f>
        <v>14.325999999999999</v>
      </c>
      <c r="J194" s="281"/>
      <c r="K194" s="19"/>
      <c r="L194" s="174">
        <v>1</v>
      </c>
    </row>
    <row r="195" spans="1:12" ht="15.75" thickBot="1" x14ac:dyDescent="0.3">
      <c r="A195" s="296"/>
      <c r="B195" s="297"/>
      <c r="C195" s="105"/>
      <c r="D195" s="105"/>
      <c r="E195" s="250"/>
      <c r="F195" s="176"/>
      <c r="G195" s="257" t="s">
        <v>1079</v>
      </c>
      <c r="H195" s="176"/>
      <c r="I195" s="257" t="str">
        <f>IF(ISNUMBER(G195),E195*G195,"")</f>
        <v/>
      </c>
      <c r="J195" s="281"/>
      <c r="K195" s="19"/>
      <c r="L195" s="174">
        <v>1</v>
      </c>
    </row>
    <row r="196" spans="1:12" ht="15.75" hidden="1" thickBot="1" x14ac:dyDescent="0.3">
      <c r="A196" s="180" t="s">
        <v>147</v>
      </c>
      <c r="B196" s="178" t="str">
        <f>INDEX(Orçamentária!A:B,MATCH(Composições!A196,Orçamentária!A:A,0),2)</f>
        <v>Remoção de revestimento acústico</v>
      </c>
      <c r="C196" s="30"/>
      <c r="D196" s="13" t="str">
        <f>TRIM(INDEX(Orçamentária!C:C,MATCH(Composições!A196,Orçamentária!A:A,0),1))</f>
        <v>m2</v>
      </c>
      <c r="E196" s="14"/>
      <c r="F196" s="15" t="s">
        <v>17</v>
      </c>
      <c r="G196" s="31" t="s">
        <v>1079</v>
      </c>
      <c r="H196" s="16"/>
      <c r="I196" s="16" t="str">
        <f>IF(ISNUMBER(G196),E196*G196,"")</f>
        <v/>
      </c>
      <c r="J196" s="17"/>
      <c r="K196" s="18"/>
      <c r="L196" s="174">
        <v>0</v>
      </c>
    </row>
    <row r="197" spans="1:12" ht="15.75" hidden="1" thickBot="1" x14ac:dyDescent="0.3">
      <c r="A197" s="181"/>
      <c r="B197" s="179"/>
      <c r="C197" s="20"/>
      <c r="D197" s="20"/>
      <c r="E197" s="21"/>
      <c r="F197" s="22"/>
      <c r="G197" s="32" t="s">
        <v>1079</v>
      </c>
      <c r="H197" s="20"/>
      <c r="I197" s="19" t="str">
        <f>IF(ISNUMBER(G197),E197*G197,"")</f>
        <v/>
      </c>
      <c r="J197" s="24"/>
      <c r="K197" s="19"/>
      <c r="L197" s="174">
        <v>0</v>
      </c>
    </row>
    <row r="198" spans="1:12" ht="15.75" hidden="1" thickBot="1" x14ac:dyDescent="0.3">
      <c r="A198" s="181"/>
      <c r="B198" s="179"/>
      <c r="C198" s="25" t="s">
        <v>38</v>
      </c>
      <c r="D198" s="25" t="s">
        <v>21</v>
      </c>
      <c r="E198" s="26">
        <v>0.2</v>
      </c>
      <c r="F198" s="27" t="s">
        <v>17</v>
      </c>
      <c r="G198" s="19">
        <v>14.325999999999999</v>
      </c>
      <c r="H198" s="27" t="s">
        <v>39</v>
      </c>
      <c r="I198" s="23">
        <f>IF(ISNUMBER(G198),E198*G198,"")</f>
        <v>2.8651999999999997</v>
      </c>
      <c r="J198" s="28">
        <f>SUM(I198:I198)</f>
        <v>2.8651999999999997</v>
      </c>
      <c r="K198" s="29"/>
      <c r="L198" s="174">
        <v>0</v>
      </c>
    </row>
    <row r="199" spans="1:12" ht="15.75" hidden="1" thickBot="1" x14ac:dyDescent="0.3">
      <c r="A199" s="182"/>
      <c r="B199" s="183"/>
      <c r="C199" s="25"/>
      <c r="D199" s="25"/>
      <c r="E199" s="26"/>
      <c r="F199" s="27"/>
      <c r="G199" s="19" t="s">
        <v>1079</v>
      </c>
      <c r="H199" s="27"/>
      <c r="I199" s="19" t="str">
        <f>IF(ISNUMBER(G199),E199*G199,"")</f>
        <v/>
      </c>
      <c r="J199" s="24"/>
      <c r="K199" s="19"/>
      <c r="L199" s="174">
        <v>0</v>
      </c>
    </row>
    <row r="200" spans="1:12" ht="15.75" hidden="1" thickBot="1" x14ac:dyDescent="0.3">
      <c r="A200" s="180" t="s">
        <v>148</v>
      </c>
      <c r="B200" s="178" t="str">
        <f>INDEX(Orçamentária!A:B,MATCH(Composições!A200,Orçamentária!A:A,0),2)</f>
        <v>Remoção de rodapé/rodabanca de mármore ou granito</v>
      </c>
      <c r="C200" s="30"/>
      <c r="D200" s="13" t="str">
        <f>TRIM(INDEX(Orçamentária!C:C,MATCH(Composições!A200,Orçamentária!A:A,0),1))</f>
        <v>m</v>
      </c>
      <c r="E200" s="14"/>
      <c r="F200" s="15" t="s">
        <v>149</v>
      </c>
      <c r="G200" s="31" t="s">
        <v>1079</v>
      </c>
      <c r="H200" s="16"/>
      <c r="I200" s="16" t="str">
        <f>IF(ISNUMBER(G200),E200*G200,"")</f>
        <v/>
      </c>
      <c r="J200" s="17"/>
      <c r="K200" s="18"/>
      <c r="L200" s="174">
        <v>0</v>
      </c>
    </row>
    <row r="201" spans="1:12" ht="15.75" hidden="1" thickBot="1" x14ac:dyDescent="0.3">
      <c r="A201" s="181"/>
      <c r="B201" s="179"/>
      <c r="C201" s="20"/>
      <c r="D201" s="20"/>
      <c r="E201" s="21"/>
      <c r="F201" s="22"/>
      <c r="G201" s="32" t="s">
        <v>1079</v>
      </c>
      <c r="H201" s="20"/>
      <c r="I201" s="19" t="str">
        <f>IF(ISNUMBER(G201),E201*G201,"")</f>
        <v/>
      </c>
      <c r="J201" s="24"/>
      <c r="K201" s="19"/>
      <c r="L201" s="174">
        <v>0</v>
      </c>
    </row>
    <row r="202" spans="1:12" ht="15.75" hidden="1" thickBot="1" x14ac:dyDescent="0.3">
      <c r="A202" s="181"/>
      <c r="B202" s="179"/>
      <c r="C202" s="25" t="s">
        <v>38</v>
      </c>
      <c r="D202" s="25" t="s">
        <v>21</v>
      </c>
      <c r="E202" s="26">
        <f>0.437*0.2</f>
        <v>8.7400000000000005E-2</v>
      </c>
      <c r="F202" s="27" t="s">
        <v>150</v>
      </c>
      <c r="G202" s="19">
        <v>14.325999999999999</v>
      </c>
      <c r="H202" s="27" t="s">
        <v>39</v>
      </c>
      <c r="I202" s="23">
        <f>IF(ISNUMBER(G202),E202*G202,"")</f>
        <v>1.2520924</v>
      </c>
      <c r="J202" s="28">
        <f>SUM(I202:I202)</f>
        <v>1.2520924</v>
      </c>
      <c r="K202" s="29"/>
      <c r="L202" s="174">
        <v>0</v>
      </c>
    </row>
    <row r="203" spans="1:12" ht="15.75" hidden="1" thickBot="1" x14ac:dyDescent="0.3">
      <c r="A203" s="181"/>
      <c r="B203" s="179"/>
      <c r="C203" s="25"/>
      <c r="D203" s="25"/>
      <c r="E203" s="26"/>
      <c r="F203" s="27"/>
      <c r="G203" s="19" t="s">
        <v>1079</v>
      </c>
      <c r="H203" s="27"/>
      <c r="I203" s="23" t="str">
        <f>IF(ISNUMBER(G203),E203*G203,"")</f>
        <v/>
      </c>
      <c r="J203" s="24"/>
      <c r="K203" s="19"/>
      <c r="L203" s="174">
        <v>0</v>
      </c>
    </row>
    <row r="204" spans="1:12" ht="15.75" hidden="1" thickBot="1" x14ac:dyDescent="0.3">
      <c r="A204" s="180" t="s">
        <v>151</v>
      </c>
      <c r="B204" s="178" t="str">
        <f>INDEX(Orçamentária!A:B,MATCH(Composições!A204,Orçamentária!A:A,0),2)</f>
        <v>Remoção de rodapés de madeira</v>
      </c>
      <c r="C204" s="30"/>
      <c r="D204" s="13" t="str">
        <f>TRIM(INDEX(Orçamentária!C:C,MATCH(Composições!A204,Orçamentária!A:A,0),1))</f>
        <v>m2</v>
      </c>
      <c r="E204" s="14"/>
      <c r="F204" s="15" t="s">
        <v>152</v>
      </c>
      <c r="G204" s="31" t="s">
        <v>1079</v>
      </c>
      <c r="H204" s="16"/>
      <c r="I204" s="16" t="str">
        <f>IF(ISNUMBER(G204),E204*G204,"")</f>
        <v/>
      </c>
      <c r="J204" s="17"/>
      <c r="K204" s="18"/>
      <c r="L204" s="174">
        <v>0</v>
      </c>
    </row>
    <row r="205" spans="1:12" ht="15.75" hidden="1" thickBot="1" x14ac:dyDescent="0.3">
      <c r="A205" s="181"/>
      <c r="B205" s="179"/>
      <c r="C205" s="20"/>
      <c r="D205" s="20"/>
      <c r="E205" s="21"/>
      <c r="F205" s="22"/>
      <c r="G205" s="32" t="s">
        <v>1079</v>
      </c>
      <c r="H205" s="20"/>
      <c r="I205" s="19" t="str">
        <f>IF(ISNUMBER(G205),E205*G205,"")</f>
        <v/>
      </c>
      <c r="J205" s="24"/>
      <c r="K205" s="19"/>
      <c r="L205" s="174">
        <v>0</v>
      </c>
    </row>
    <row r="206" spans="1:12" ht="15.75" hidden="1" thickBot="1" x14ac:dyDescent="0.3">
      <c r="A206" s="181"/>
      <c r="B206" s="179"/>
      <c r="C206" s="25" t="s">
        <v>153</v>
      </c>
      <c r="D206" s="25" t="s">
        <v>21</v>
      </c>
      <c r="E206" s="26">
        <v>0.25</v>
      </c>
      <c r="F206" s="27" t="s">
        <v>154</v>
      </c>
      <c r="G206" s="19">
        <v>19.018999999999998</v>
      </c>
      <c r="H206" s="27" t="s">
        <v>155</v>
      </c>
      <c r="I206" s="19">
        <f>IF(ISNUMBER(G206),E206*G206,"")</f>
        <v>4.7547499999999996</v>
      </c>
      <c r="J206" s="28">
        <f>SUM(I206:I207)</f>
        <v>5.1128999999999998</v>
      </c>
      <c r="K206" s="29"/>
      <c r="L206" s="174">
        <v>0</v>
      </c>
    </row>
    <row r="207" spans="1:12" ht="15.75" hidden="1" thickBot="1" x14ac:dyDescent="0.3">
      <c r="A207" s="181"/>
      <c r="B207" s="179"/>
      <c r="C207" s="25" t="s">
        <v>38</v>
      </c>
      <c r="D207" s="36" t="s">
        <v>21</v>
      </c>
      <c r="E207" s="26">
        <v>2.5000000000000001E-2</v>
      </c>
      <c r="F207" s="27" t="s">
        <v>154</v>
      </c>
      <c r="G207" s="19">
        <v>14.325999999999999</v>
      </c>
      <c r="H207" s="27" t="s">
        <v>39</v>
      </c>
      <c r="I207" s="23">
        <f>IF(ISNUMBER(G207),E207*G207,"")</f>
        <v>0.35814999999999997</v>
      </c>
      <c r="J207" s="24"/>
      <c r="K207" s="19"/>
      <c r="L207" s="174">
        <v>0</v>
      </c>
    </row>
    <row r="208" spans="1:12" ht="15.75" hidden="1" thickBot="1" x14ac:dyDescent="0.3">
      <c r="A208" s="182"/>
      <c r="B208" s="183"/>
      <c r="C208" s="25"/>
      <c r="D208" s="25"/>
      <c r="E208" s="26"/>
      <c r="F208" s="27"/>
      <c r="G208" s="19" t="s">
        <v>1079</v>
      </c>
      <c r="H208" s="27"/>
      <c r="I208" s="19" t="str">
        <f>IF(ISNUMBER(G208),E208*G208,"")</f>
        <v/>
      </c>
      <c r="J208" s="24"/>
      <c r="K208" s="19"/>
      <c r="L208" s="174">
        <v>0</v>
      </c>
    </row>
    <row r="209" spans="1:12" ht="15.75" thickBot="1" x14ac:dyDescent="0.3">
      <c r="A209" s="288" t="s">
        <v>156</v>
      </c>
      <c r="B209" s="289" t="str">
        <f>INDEX(Orçamentária!A:B,MATCH(Composições!A209,Orçamentária!A:A,0),2)</f>
        <v>Remoção de soleira de mármore ou granito</v>
      </c>
      <c r="C209" s="274"/>
      <c r="D209" s="265" t="str">
        <f>TRIM(INDEX(Orçamentária!C:C,MATCH(Composições!A209,Orçamentária!A:A,0),1))</f>
        <v>m</v>
      </c>
      <c r="E209" s="290"/>
      <c r="F209" s="259" t="s">
        <v>157</v>
      </c>
      <c r="G209" s="260" t="s">
        <v>1079</v>
      </c>
      <c r="H209" s="261"/>
      <c r="I209" s="261" t="str">
        <f>IF(ISNUMBER(G209),E209*G209,"")</f>
        <v/>
      </c>
      <c r="J209" s="280"/>
      <c r="K209" s="18"/>
      <c r="L209" s="174">
        <v>0.97</v>
      </c>
    </row>
    <row r="210" spans="1:12" x14ac:dyDescent="0.25">
      <c r="A210" s="291"/>
      <c r="B210" s="292"/>
      <c r="C210" s="155"/>
      <c r="D210" s="155"/>
      <c r="E210" s="293"/>
      <c r="F210" s="294"/>
      <c r="G210" s="262" t="s">
        <v>1079</v>
      </c>
      <c r="H210" s="155"/>
      <c r="I210" s="257" t="str">
        <f>IF(ISNUMBER(G210),E210*G210,"")</f>
        <v/>
      </c>
      <c r="J210" s="281"/>
      <c r="K210" s="19"/>
      <c r="L210" s="174">
        <v>0.97</v>
      </c>
    </row>
    <row r="211" spans="1:12" x14ac:dyDescent="0.25">
      <c r="A211" s="291"/>
      <c r="B211" s="292"/>
      <c r="C211" s="105" t="s">
        <v>38</v>
      </c>
      <c r="D211" s="105" t="s">
        <v>21</v>
      </c>
      <c r="E211" s="250">
        <v>0.55000000000000004</v>
      </c>
      <c r="F211" s="176" t="s">
        <v>158</v>
      </c>
      <c r="G211" s="257">
        <v>14.325999999999999</v>
      </c>
      <c r="H211" s="176" t="s">
        <v>39</v>
      </c>
      <c r="I211" s="258">
        <f>IF(ISNUMBER(G211),E211*G211,"")</f>
        <v>7.8792999999999997</v>
      </c>
      <c r="J211" s="295">
        <f>SUM(I211:I211)</f>
        <v>7.8792999999999997</v>
      </c>
      <c r="K211" s="29"/>
      <c r="L211" s="174">
        <v>0.97</v>
      </c>
    </row>
    <row r="212" spans="1:12" ht="15.75" thickBot="1" x14ac:dyDescent="0.3">
      <c r="A212" s="296"/>
      <c r="B212" s="297"/>
      <c r="C212" s="105"/>
      <c r="D212" s="105"/>
      <c r="E212" s="250"/>
      <c r="F212" s="176"/>
      <c r="G212" s="257" t="s">
        <v>1079</v>
      </c>
      <c r="H212" s="176"/>
      <c r="I212" s="257" t="str">
        <f>IF(ISNUMBER(G212),E212*G212,"")</f>
        <v/>
      </c>
      <c r="J212" s="281"/>
      <c r="K212" s="19"/>
      <c r="L212" s="174">
        <v>0.97</v>
      </c>
    </row>
    <row r="213" spans="1:12" ht="15.75" hidden="1" thickBot="1" x14ac:dyDescent="0.3">
      <c r="A213" s="180" t="s">
        <v>159</v>
      </c>
      <c r="B213" s="178" t="str">
        <f>INDEX(Orçamentária!A:B,MATCH(Composições!A213,Orçamentária!A:A,0),2)</f>
        <v>Remoção de split/fancolete/ACJ (equipamento unitário)</v>
      </c>
      <c r="C213" s="30"/>
      <c r="D213" s="13" t="str">
        <f>TRIM(INDEX(Orçamentária!C:C,MATCH(Composições!A213,Orçamentária!A:A,0),1))</f>
        <v>un</v>
      </c>
      <c r="E213" s="14"/>
      <c r="F213" s="15" t="s">
        <v>17</v>
      </c>
      <c r="G213" s="31" t="s">
        <v>1079</v>
      </c>
      <c r="H213" s="16"/>
      <c r="I213" s="16" t="str">
        <f>IF(ISNUMBER(G213),E213*G213,"")</f>
        <v/>
      </c>
      <c r="J213" s="17"/>
      <c r="K213" s="18"/>
      <c r="L213" s="174">
        <v>0</v>
      </c>
    </row>
    <row r="214" spans="1:12" ht="15.75" hidden="1" thickBot="1" x14ac:dyDescent="0.3">
      <c r="A214" s="181"/>
      <c r="B214" s="179"/>
      <c r="C214" s="20"/>
      <c r="D214" s="20"/>
      <c r="E214" s="21"/>
      <c r="F214" s="22"/>
      <c r="G214" s="32" t="s">
        <v>1079</v>
      </c>
      <c r="H214" s="20"/>
      <c r="I214" s="19" t="str">
        <f>IF(ISNUMBER(G214),E214*G214,"")</f>
        <v/>
      </c>
      <c r="J214" s="24"/>
      <c r="K214" s="19"/>
      <c r="L214" s="174">
        <v>0</v>
      </c>
    </row>
    <row r="215" spans="1:12" ht="15.75" hidden="1" thickBot="1" x14ac:dyDescent="0.3">
      <c r="A215" s="181"/>
      <c r="B215" s="179"/>
      <c r="C215" s="25" t="s">
        <v>160</v>
      </c>
      <c r="D215" s="36" t="s">
        <v>21</v>
      </c>
      <c r="E215" s="26">
        <v>1</v>
      </c>
      <c r="F215" s="27" t="s">
        <v>17</v>
      </c>
      <c r="G215" s="19">
        <v>19.9785</v>
      </c>
      <c r="H215" s="27" t="s">
        <v>161</v>
      </c>
      <c r="I215" s="19">
        <f>IF(ISNUMBER(G215),E215*G215,"")</f>
        <v>19.9785</v>
      </c>
      <c r="J215" s="28">
        <f>SUM(I215:I216)</f>
        <v>35.2545</v>
      </c>
      <c r="K215" s="29"/>
      <c r="L215" s="174">
        <v>0</v>
      </c>
    </row>
    <row r="216" spans="1:12" ht="15.75" hidden="1" thickBot="1" x14ac:dyDescent="0.3">
      <c r="A216" s="181"/>
      <c r="B216" s="179"/>
      <c r="C216" s="25" t="s">
        <v>96</v>
      </c>
      <c r="D216" s="36" t="s">
        <v>21</v>
      </c>
      <c r="E216" s="26">
        <v>1</v>
      </c>
      <c r="F216" s="27" t="s">
        <v>17</v>
      </c>
      <c r="G216" s="19">
        <v>15.275999999999998</v>
      </c>
      <c r="H216" s="27" t="s">
        <v>98</v>
      </c>
      <c r="I216" s="23">
        <f>IF(ISNUMBER(G216),E216*G216,"")</f>
        <v>15.275999999999998</v>
      </c>
      <c r="J216" s="24"/>
      <c r="K216" s="19"/>
      <c r="L216" s="174">
        <v>0</v>
      </c>
    </row>
    <row r="217" spans="1:12" ht="15.75" hidden="1" thickBot="1" x14ac:dyDescent="0.3">
      <c r="A217" s="182"/>
      <c r="B217" s="183"/>
      <c r="C217" s="25"/>
      <c r="D217" s="25"/>
      <c r="E217" s="26"/>
      <c r="F217" s="27"/>
      <c r="G217" s="19" t="s">
        <v>1079</v>
      </c>
      <c r="H217" s="27"/>
      <c r="I217" s="19" t="str">
        <f>IF(ISNUMBER(G217),E217*G217,"")</f>
        <v/>
      </c>
      <c r="J217" s="24"/>
      <c r="K217" s="19"/>
      <c r="L217" s="174">
        <v>0</v>
      </c>
    </row>
    <row r="218" spans="1:12" ht="15.75" thickBot="1" x14ac:dyDescent="0.3">
      <c r="A218" s="288" t="s">
        <v>162</v>
      </c>
      <c r="B218" s="289" t="str">
        <f>INDEX(Orçamentária!A:B,MATCH(Composições!A218,Orçamentária!A:A,0),2)</f>
        <v>Remoção de vidro comum / espelho</v>
      </c>
      <c r="C218" s="274"/>
      <c r="D218" s="265" t="str">
        <f>TRIM(INDEX(Orçamentária!C:C,MATCH(Composições!A218,Orçamentária!A:A,0),1))</f>
        <v>m2</v>
      </c>
      <c r="E218" s="290"/>
      <c r="F218" s="259" t="s">
        <v>163</v>
      </c>
      <c r="G218" s="260" t="s">
        <v>1079</v>
      </c>
      <c r="H218" s="261"/>
      <c r="I218" s="261" t="str">
        <f>IF(ISNUMBER(G218),E218*G218,"")</f>
        <v/>
      </c>
      <c r="J218" s="280"/>
      <c r="K218" s="18"/>
      <c r="L218" s="174">
        <v>0.8</v>
      </c>
    </row>
    <row r="219" spans="1:12" x14ac:dyDescent="0.25">
      <c r="A219" s="291"/>
      <c r="B219" s="292"/>
      <c r="C219" s="155"/>
      <c r="D219" s="155"/>
      <c r="E219" s="293"/>
      <c r="F219" s="294"/>
      <c r="G219" s="262" t="s">
        <v>1079</v>
      </c>
      <c r="H219" s="155"/>
      <c r="I219" s="257" t="str">
        <f>IF(ISNUMBER(G219),E219*G219,"")</f>
        <v/>
      </c>
      <c r="J219" s="281"/>
      <c r="K219" s="19"/>
      <c r="L219" s="174">
        <v>0.8</v>
      </c>
    </row>
    <row r="220" spans="1:12" x14ac:dyDescent="0.25">
      <c r="A220" s="291"/>
      <c r="B220" s="292"/>
      <c r="C220" s="105" t="s">
        <v>38</v>
      </c>
      <c r="D220" s="105" t="s">
        <v>21</v>
      </c>
      <c r="E220" s="250">
        <v>0.2</v>
      </c>
      <c r="F220" s="176" t="s">
        <v>163</v>
      </c>
      <c r="G220" s="257">
        <v>14.325999999999999</v>
      </c>
      <c r="H220" s="176" t="s">
        <v>39</v>
      </c>
      <c r="I220" s="258">
        <f>IF(ISNUMBER(G220),E220*G220,"")</f>
        <v>2.8651999999999997</v>
      </c>
      <c r="J220" s="295">
        <f>SUM(I220:I221)</f>
        <v>11.790449999999998</v>
      </c>
      <c r="K220" s="29"/>
      <c r="L220" s="174">
        <v>0.8</v>
      </c>
    </row>
    <row r="221" spans="1:12" x14ac:dyDescent="0.25">
      <c r="A221" s="291"/>
      <c r="B221" s="292"/>
      <c r="C221" s="105" t="s">
        <v>134</v>
      </c>
      <c r="D221" s="105" t="s">
        <v>21</v>
      </c>
      <c r="E221" s="250">
        <v>0.5</v>
      </c>
      <c r="F221" s="176" t="s">
        <v>163</v>
      </c>
      <c r="G221" s="257">
        <v>17.850499999999997</v>
      </c>
      <c r="H221" s="176" t="s">
        <v>135</v>
      </c>
      <c r="I221" s="258">
        <f>IF(ISNUMBER(G221),E221*G221,"")</f>
        <v>8.9252499999999984</v>
      </c>
      <c r="J221" s="281"/>
      <c r="K221" s="19"/>
      <c r="L221" s="174">
        <v>0.8</v>
      </c>
    </row>
    <row r="222" spans="1:12" ht="15.75" thickBot="1" x14ac:dyDescent="0.3">
      <c r="A222" s="296"/>
      <c r="B222" s="297"/>
      <c r="C222" s="105"/>
      <c r="D222" s="105"/>
      <c r="E222" s="250"/>
      <c r="F222" s="176"/>
      <c r="G222" s="257" t="s">
        <v>1079</v>
      </c>
      <c r="H222" s="176"/>
      <c r="I222" s="257" t="str">
        <f>IF(ISNUMBER(G222),E222*G222,"")</f>
        <v/>
      </c>
      <c r="J222" s="281"/>
      <c r="K222" s="19"/>
      <c r="L222" s="174">
        <v>0.8</v>
      </c>
    </row>
    <row r="223" spans="1:12" ht="15.75" thickBot="1" x14ac:dyDescent="0.3">
      <c r="A223" s="298" t="s">
        <v>164</v>
      </c>
      <c r="B223" s="289" t="str">
        <f>INDEX(Orçamentária!A:B,MATCH(Composições!A223,Orçamentária!A:A,0),2)</f>
        <v>Retirada de entulhos</v>
      </c>
      <c r="C223" s="274"/>
      <c r="D223" s="265" t="str">
        <f>TRIM(INDEX(Orçamentária!C:C,MATCH(Composições!A223,Orçamentária!A:A,0),1))</f>
        <v>m3</v>
      </c>
      <c r="E223" s="290"/>
      <c r="F223" s="259" t="s">
        <v>165</v>
      </c>
      <c r="G223" s="260" t="s">
        <v>1079</v>
      </c>
      <c r="H223" s="261"/>
      <c r="I223" s="261" t="str">
        <f>IF(ISNUMBER(G223),E223*G223,"")</f>
        <v/>
      </c>
      <c r="J223" s="280"/>
      <c r="K223" s="18"/>
      <c r="L223" s="174">
        <v>35.299999999999997</v>
      </c>
    </row>
    <row r="224" spans="1:12" x14ac:dyDescent="0.25">
      <c r="A224" s="268"/>
      <c r="B224" s="292"/>
      <c r="C224" s="155"/>
      <c r="D224" s="155"/>
      <c r="E224" s="293"/>
      <c r="F224" s="294"/>
      <c r="G224" s="262" t="s">
        <v>1079</v>
      </c>
      <c r="H224" s="155"/>
      <c r="I224" s="257" t="str">
        <f>IF(ISNUMBER(G224),E224*G224,"")</f>
        <v/>
      </c>
      <c r="J224" s="281"/>
      <c r="K224" s="19"/>
      <c r="L224" s="174">
        <v>35.299999999999997</v>
      </c>
    </row>
    <row r="225" spans="1:12" x14ac:dyDescent="0.25">
      <c r="A225" s="268"/>
      <c r="B225" s="292"/>
      <c r="C225" s="105" t="s">
        <v>38</v>
      </c>
      <c r="D225" s="105" t="s">
        <v>21</v>
      </c>
      <c r="E225" s="250">
        <v>1</v>
      </c>
      <c r="F225" s="176" t="s">
        <v>166</v>
      </c>
      <c r="G225" s="257">
        <v>14.325999999999999</v>
      </c>
      <c r="H225" s="176" t="s">
        <v>39</v>
      </c>
      <c r="I225" s="258">
        <f>IF(ISNUMBER(G225),E225*G225,"")</f>
        <v>14.325999999999999</v>
      </c>
      <c r="J225" s="295">
        <f>SUM(I225:I225)</f>
        <v>14.325999999999999</v>
      </c>
      <c r="K225" s="29"/>
      <c r="L225" s="174">
        <v>35.299999999999997</v>
      </c>
    </row>
    <row r="226" spans="1:12" ht="15.75" thickBot="1" x14ac:dyDescent="0.3">
      <c r="A226" s="268"/>
      <c r="B226" s="292"/>
      <c r="C226" s="105"/>
      <c r="D226" s="105"/>
      <c r="E226" s="250"/>
      <c r="F226" s="176"/>
      <c r="G226" s="257" t="s">
        <v>1079</v>
      </c>
      <c r="H226" s="176"/>
      <c r="I226" s="257" t="str">
        <f>IF(ISNUMBER(G226),E226*G226,"")</f>
        <v/>
      </c>
      <c r="J226" s="281"/>
      <c r="K226" s="19"/>
      <c r="L226" s="174">
        <v>35.299999999999997</v>
      </c>
    </row>
    <row r="227" spans="1:12" ht="15.75" hidden="1" thickBot="1" x14ac:dyDescent="0.3">
      <c r="A227" s="184" t="s">
        <v>167</v>
      </c>
      <c r="B227" s="178" t="str">
        <f>INDEX(Orçamentária!A:B,MATCH(Composições!A227,Orçamentária!A:A,0),2)</f>
        <v>Andaime fachadeiro</v>
      </c>
      <c r="C227" s="30"/>
      <c r="D227" s="13" t="str">
        <f>TRIM(INDEX(Orçamentária!C:C,MATCH(Composições!A227,Orçamentária!A:A,0),1))</f>
        <v>m2 x mês</v>
      </c>
      <c r="E227" s="14"/>
      <c r="F227" s="15" t="str">
        <f>F229</f>
        <v>Sinapi 20193</v>
      </c>
      <c r="G227" s="31" t="s">
        <v>1079</v>
      </c>
      <c r="H227" s="16"/>
      <c r="I227" s="16" t="str">
        <f>IF(ISNUMBER(G227),E227*G227,"")</f>
        <v/>
      </c>
      <c r="J227" s="17"/>
      <c r="K227" s="18"/>
      <c r="L227" s="174">
        <v>0</v>
      </c>
    </row>
    <row r="228" spans="1:12" ht="15.75" hidden="1" thickBot="1" x14ac:dyDescent="0.3">
      <c r="A228" s="185"/>
      <c r="B228" s="179"/>
      <c r="C228" s="20"/>
      <c r="D228" s="20"/>
      <c r="E228" s="21"/>
      <c r="F228" s="22"/>
      <c r="G228" s="32" t="s">
        <v>1079</v>
      </c>
      <c r="H228" s="20"/>
      <c r="I228" s="19" t="str">
        <f>IF(ISNUMBER(G228),E228*G228,"")</f>
        <v/>
      </c>
      <c r="J228" s="24"/>
      <c r="K228" s="19"/>
      <c r="L228" s="174">
        <v>0</v>
      </c>
    </row>
    <row r="229" spans="1:12" ht="39" hidden="1" thickBot="1" x14ac:dyDescent="0.3">
      <c r="A229" s="185"/>
      <c r="B229" s="179"/>
      <c r="C229" s="25" t="s">
        <v>168</v>
      </c>
      <c r="D229" s="25" t="s">
        <v>169</v>
      </c>
      <c r="E229" s="26">
        <v>1</v>
      </c>
      <c r="F229" s="27" t="s">
        <v>170</v>
      </c>
      <c r="G229" s="19">
        <v>3.7905000000000002</v>
      </c>
      <c r="H229" s="27" t="s">
        <v>170</v>
      </c>
      <c r="I229" s="23">
        <f>IF(ISNUMBER(G229),E229*G229,"")</f>
        <v>3.7905000000000002</v>
      </c>
      <c r="J229" s="28">
        <f>SUM(I229:I229)</f>
        <v>3.7905000000000002</v>
      </c>
      <c r="K229" s="29"/>
      <c r="L229" s="174">
        <v>0</v>
      </c>
    </row>
    <row r="230" spans="1:12" ht="15.75" hidden="1" thickBot="1" x14ac:dyDescent="0.3">
      <c r="A230" s="185"/>
      <c r="B230" s="179"/>
      <c r="C230" s="25"/>
      <c r="D230" s="25"/>
      <c r="E230" s="26"/>
      <c r="F230" s="27"/>
      <c r="G230" s="19" t="s">
        <v>1079</v>
      </c>
      <c r="H230" s="27"/>
      <c r="I230" s="19" t="str">
        <f>IF(ISNUMBER(G230),E230*G230,"")</f>
        <v/>
      </c>
      <c r="J230" s="24"/>
      <c r="K230" s="19"/>
      <c r="L230" s="174">
        <v>0</v>
      </c>
    </row>
    <row r="231" spans="1:12" ht="15.75" thickBot="1" x14ac:dyDescent="0.3">
      <c r="A231" s="288" t="s">
        <v>171</v>
      </c>
      <c r="B231" s="289" t="str">
        <f>INDEX(Orçamentária!A:B,MATCH(Composições!A231,Orçamentária!A:A,0),2)</f>
        <v>Andaime tubular (aluguel/mês)</v>
      </c>
      <c r="C231" s="274"/>
      <c r="D231" s="265" t="str">
        <f>TRIM(INDEX(Orçamentária!C:C,MATCH(Composições!A231,Orçamentária!A:A,0),1))</f>
        <v>m x mês</v>
      </c>
      <c r="E231" s="290"/>
      <c r="F231" s="259" t="s">
        <v>172</v>
      </c>
      <c r="G231" s="260" t="s">
        <v>1079</v>
      </c>
      <c r="H231" s="261"/>
      <c r="I231" s="261" t="str">
        <f>IF(ISNUMBER(G231),E231*G231,"")</f>
        <v/>
      </c>
      <c r="J231" s="280"/>
      <c r="K231" s="18"/>
      <c r="L231" s="174">
        <v>84</v>
      </c>
    </row>
    <row r="232" spans="1:12" x14ac:dyDescent="0.25">
      <c r="A232" s="291"/>
      <c r="B232" s="292"/>
      <c r="C232" s="155"/>
      <c r="D232" s="155"/>
      <c r="E232" s="293"/>
      <c r="F232" s="294"/>
      <c r="G232" s="262" t="s">
        <v>1079</v>
      </c>
      <c r="H232" s="155"/>
      <c r="I232" s="257" t="str">
        <f>IF(ISNUMBER(G232),E232*G232,"")</f>
        <v/>
      </c>
      <c r="J232" s="281"/>
      <c r="K232" s="19"/>
      <c r="L232" s="174">
        <v>84</v>
      </c>
    </row>
    <row r="233" spans="1:12" ht="25.5" x14ac:dyDescent="0.25">
      <c r="A233" s="291"/>
      <c r="B233" s="292"/>
      <c r="C233" s="105" t="s">
        <v>173</v>
      </c>
      <c r="D233" s="271" t="s">
        <v>174</v>
      </c>
      <c r="E233" s="250">
        <v>1</v>
      </c>
      <c r="F233" s="176" t="s">
        <v>172</v>
      </c>
      <c r="G233" s="257">
        <v>11.399999999999999</v>
      </c>
      <c r="H233" s="176" t="s">
        <v>172</v>
      </c>
      <c r="I233" s="257">
        <f>IF(ISNUMBER(G233),E233*G233,"")</f>
        <v>11.399999999999999</v>
      </c>
      <c r="J233" s="295">
        <f>SUM(I233:I233)</f>
        <v>11.399999999999999</v>
      </c>
      <c r="K233" s="29"/>
      <c r="L233" s="174">
        <v>84</v>
      </c>
    </row>
    <row r="234" spans="1:12" ht="15.75" thickBot="1" x14ac:dyDescent="0.3">
      <c r="A234" s="296"/>
      <c r="B234" s="297"/>
      <c r="C234" s="105"/>
      <c r="D234" s="105"/>
      <c r="E234" s="250"/>
      <c r="F234" s="176"/>
      <c r="G234" s="257" t="s">
        <v>1079</v>
      </c>
      <c r="H234" s="176"/>
      <c r="I234" s="257" t="str">
        <f>IF(ISNUMBER(G234),E234*G234,"")</f>
        <v/>
      </c>
      <c r="J234" s="281"/>
      <c r="K234" s="19"/>
      <c r="L234" s="174">
        <v>84</v>
      </c>
    </row>
    <row r="235" spans="1:12" ht="15.75" hidden="1" thickBot="1" x14ac:dyDescent="0.3">
      <c r="A235" s="184" t="s">
        <v>175</v>
      </c>
      <c r="B235" s="178" t="str">
        <f>INDEX(Orçamentária!A:B,MATCH(Composições!A235,Orçamentária!A:A,0),2)</f>
        <v>Corda de poliamida 12 mm tipo bombeiro, para trabalho em altura</v>
      </c>
      <c r="C235" s="30"/>
      <c r="D235" s="13" t="str">
        <f>TRIM(INDEX(Orçamentária!C:C,MATCH(Composições!A235,Orçamentária!A:A,0),1))</f>
        <v>m</v>
      </c>
      <c r="E235" s="14"/>
      <c r="F235" s="15" t="s">
        <v>176</v>
      </c>
      <c r="G235" s="31" t="s">
        <v>1079</v>
      </c>
      <c r="H235" s="16"/>
      <c r="I235" s="16" t="str">
        <f>IF(ISNUMBER(G235),E235*G235,"")</f>
        <v/>
      </c>
      <c r="J235" s="17"/>
      <c r="K235" s="18"/>
      <c r="L235" s="174">
        <v>0</v>
      </c>
    </row>
    <row r="236" spans="1:12" ht="15.75" hidden="1" thickBot="1" x14ac:dyDescent="0.3">
      <c r="A236" s="185"/>
      <c r="B236" s="179"/>
      <c r="C236" s="20"/>
      <c r="D236" s="20"/>
      <c r="E236" s="21"/>
      <c r="F236" s="22"/>
      <c r="G236" s="32" t="s">
        <v>1079</v>
      </c>
      <c r="H236" s="20"/>
      <c r="I236" s="19" t="str">
        <f>IF(ISNUMBER(G236),E236*G236,"")</f>
        <v/>
      </c>
      <c r="J236" s="24"/>
      <c r="K236" s="19"/>
      <c r="L236" s="174">
        <v>0</v>
      </c>
    </row>
    <row r="237" spans="1:12" ht="26.25" hidden="1" thickBot="1" x14ac:dyDescent="0.3">
      <c r="A237" s="185"/>
      <c r="B237" s="179"/>
      <c r="C237" s="25" t="s">
        <v>177</v>
      </c>
      <c r="D237" s="25" t="s">
        <v>178</v>
      </c>
      <c r="E237" s="26">
        <v>0.01</v>
      </c>
      <c r="F237" s="27" t="s">
        <v>179</v>
      </c>
      <c r="G237" s="19">
        <v>441.97800000000001</v>
      </c>
      <c r="H237" s="27" t="s">
        <v>179</v>
      </c>
      <c r="I237" s="23">
        <f>IF(ISNUMBER(G237),E237*G237,"")</f>
        <v>4.4197800000000003</v>
      </c>
      <c r="J237" s="28">
        <f>SUM(I237:I237)</f>
        <v>4.4197800000000003</v>
      </c>
      <c r="K237" s="29"/>
      <c r="L237" s="174">
        <v>0</v>
      </c>
    </row>
    <row r="238" spans="1:12" ht="15.75" hidden="1" thickBot="1" x14ac:dyDescent="0.3">
      <c r="A238" s="185"/>
      <c r="B238" s="179"/>
      <c r="C238" s="25"/>
      <c r="D238" s="25"/>
      <c r="E238" s="26"/>
      <c r="F238" s="27"/>
      <c r="G238" s="19" t="s">
        <v>1079</v>
      </c>
      <c r="H238" s="27"/>
      <c r="I238" s="19" t="str">
        <f>IF(ISNUMBER(G238),E238*G238,"")</f>
        <v/>
      </c>
      <c r="J238" s="24"/>
      <c r="K238" s="19"/>
      <c r="L238" s="174">
        <v>0</v>
      </c>
    </row>
    <row r="239" spans="1:12" ht="15.75" hidden="1" thickBot="1" x14ac:dyDescent="0.3">
      <c r="A239" s="180" t="s">
        <v>180</v>
      </c>
      <c r="B239" s="178" t="str">
        <f>INDEX(Orçamentária!A:B,MATCH(Composições!A239,Orçamentária!A:A,0),2)</f>
        <v>Isolamento de obra com tela plástica com malha de 5mm e estrutura de madeira pontaleteada</v>
      </c>
      <c r="C239" s="30"/>
      <c r="D239" s="13" t="str">
        <f>TRIM(INDEX(Orçamentária!C:C,MATCH(Composições!A239,Orçamentária!A:A,0),1))</f>
        <v>m2</v>
      </c>
      <c r="E239" s="14"/>
      <c r="F239" s="15" t="s">
        <v>181</v>
      </c>
      <c r="G239" s="40" t="s">
        <v>1079</v>
      </c>
      <c r="H239" s="16"/>
      <c r="I239" s="16" t="str">
        <f>IF(ISNUMBER(G239),E239*G239,"")</f>
        <v/>
      </c>
      <c r="J239" s="17"/>
      <c r="K239" s="18"/>
      <c r="L239" s="174">
        <v>0</v>
      </c>
    </row>
    <row r="240" spans="1:12" ht="15.75" hidden="1" thickBot="1" x14ac:dyDescent="0.3">
      <c r="A240" s="181"/>
      <c r="B240" s="179"/>
      <c r="C240" s="20"/>
      <c r="D240" s="20"/>
      <c r="E240" s="21"/>
      <c r="F240" s="22"/>
      <c r="G240" s="19" t="s">
        <v>1079</v>
      </c>
      <c r="H240" s="20"/>
      <c r="I240" s="19" t="str">
        <f>IF(ISNUMBER(G240),E240*G240,"")</f>
        <v/>
      </c>
      <c r="J240" s="24"/>
      <c r="K240" s="19"/>
      <c r="L240" s="174">
        <v>0</v>
      </c>
    </row>
    <row r="241" spans="1:12" ht="15.75" hidden="1" thickBot="1" x14ac:dyDescent="0.3">
      <c r="A241" s="181"/>
      <c r="B241" s="179"/>
      <c r="C241" s="25" t="s">
        <v>38</v>
      </c>
      <c r="D241" s="25" t="s">
        <v>21</v>
      </c>
      <c r="E241" s="26">
        <v>0.15</v>
      </c>
      <c r="F241" s="27" t="s">
        <v>182</v>
      </c>
      <c r="G241" s="19">
        <v>14.325999999999999</v>
      </c>
      <c r="H241" s="27" t="s">
        <v>39</v>
      </c>
      <c r="I241" s="19">
        <f>IF(ISNUMBER(G241),E241*G241,"")</f>
        <v>2.1488999999999998</v>
      </c>
      <c r="J241" s="28">
        <f>SUM(I241:I245)</f>
        <v>16.143349999999998</v>
      </c>
      <c r="K241" s="29"/>
      <c r="L241" s="174">
        <v>0</v>
      </c>
    </row>
    <row r="242" spans="1:12" ht="15.75" hidden="1" thickBot="1" x14ac:dyDescent="0.3">
      <c r="A242" s="181"/>
      <c r="B242" s="179"/>
      <c r="C242" s="25" t="s">
        <v>153</v>
      </c>
      <c r="D242" s="25" t="s">
        <v>21</v>
      </c>
      <c r="E242" s="26">
        <v>0.3</v>
      </c>
      <c r="F242" s="27" t="s">
        <v>182</v>
      </c>
      <c r="G242" s="19">
        <v>19.018999999999998</v>
      </c>
      <c r="H242" s="27" t="s">
        <v>155</v>
      </c>
      <c r="I242" s="19">
        <f>IF(ISNUMBER(G242),E242*G242,"")</f>
        <v>5.7056999999999993</v>
      </c>
      <c r="J242" s="24"/>
      <c r="K242" s="19"/>
      <c r="L242" s="174">
        <v>0</v>
      </c>
    </row>
    <row r="243" spans="1:12" ht="26.25" hidden="1" thickBot="1" x14ac:dyDescent="0.3">
      <c r="A243" s="181"/>
      <c r="B243" s="179"/>
      <c r="C243" s="25" t="s">
        <v>183</v>
      </c>
      <c r="D243" s="25" t="s">
        <v>184</v>
      </c>
      <c r="E243" s="26">
        <v>1.5</v>
      </c>
      <c r="F243" s="27" t="s">
        <v>182</v>
      </c>
      <c r="G243" s="23">
        <v>3.4390000000000001</v>
      </c>
      <c r="H243" s="27" t="s">
        <v>185</v>
      </c>
      <c r="I243" s="19">
        <f>IF(ISNUMBER(G243),E243*G243,"")</f>
        <v>5.1585000000000001</v>
      </c>
      <c r="J243" s="24"/>
      <c r="K243" s="19"/>
      <c r="L243" s="174">
        <v>0</v>
      </c>
    </row>
    <row r="244" spans="1:12" ht="15.75" hidden="1" thickBot="1" x14ac:dyDescent="0.3">
      <c r="A244" s="181"/>
      <c r="B244" s="179"/>
      <c r="C244" s="25" t="s">
        <v>186</v>
      </c>
      <c r="D244" s="25" t="s">
        <v>75</v>
      </c>
      <c r="E244" s="26">
        <v>0.1</v>
      </c>
      <c r="F244" s="27" t="s">
        <v>182</v>
      </c>
      <c r="G244" s="23">
        <v>9.4524999999999988</v>
      </c>
      <c r="H244" s="27" t="s">
        <v>187</v>
      </c>
      <c r="I244" s="19">
        <f>IF(ISNUMBER(G244),E244*G244,"")</f>
        <v>0.94524999999999992</v>
      </c>
      <c r="J244" s="24"/>
      <c r="K244" s="19"/>
      <c r="L244" s="174">
        <v>0</v>
      </c>
    </row>
    <row r="245" spans="1:12" ht="26.25" hidden="1" thickBot="1" x14ac:dyDescent="0.3">
      <c r="A245" s="181"/>
      <c r="B245" s="179"/>
      <c r="C245" s="25" t="s">
        <v>188</v>
      </c>
      <c r="D245" s="25" t="s">
        <v>189</v>
      </c>
      <c r="E245" s="26">
        <v>1.1499999999999999</v>
      </c>
      <c r="F245" s="27" t="s">
        <v>182</v>
      </c>
      <c r="G245" s="23">
        <v>1.9</v>
      </c>
      <c r="H245" s="27" t="s">
        <v>190</v>
      </c>
      <c r="I245" s="19">
        <f>IF(ISNUMBER(G245),E245*G245,"")</f>
        <v>2.1849999999999996</v>
      </c>
      <c r="J245" s="24"/>
      <c r="K245" s="19"/>
      <c r="L245" s="174">
        <v>0</v>
      </c>
    </row>
    <row r="246" spans="1:12" ht="15.75" hidden="1" thickBot="1" x14ac:dyDescent="0.3">
      <c r="A246" s="182"/>
      <c r="B246" s="183"/>
      <c r="C246" s="25"/>
      <c r="D246" s="25"/>
      <c r="E246" s="26"/>
      <c r="F246" s="27"/>
      <c r="G246" s="19" t="s">
        <v>1079</v>
      </c>
      <c r="H246" s="27"/>
      <c r="I246" s="19" t="str">
        <f>IF(ISNUMBER(G246),E246*G246,"")</f>
        <v/>
      </c>
      <c r="J246" s="24"/>
      <c r="K246" s="19"/>
      <c r="L246" s="174">
        <v>0</v>
      </c>
    </row>
    <row r="247" spans="1:12" ht="26.25" thickBot="1" x14ac:dyDescent="0.3">
      <c r="A247" s="288" t="s">
        <v>191</v>
      </c>
      <c r="B247" s="289" t="str">
        <f>INDEX(Orçamentária!A:B,MATCH(Composições!A247,Orçamentária!A:A,0),2)</f>
        <v>Tapume</v>
      </c>
      <c r="C247" s="274"/>
      <c r="D247" s="265" t="str">
        <f>TRIM(INDEX(Orçamentária!C:C,MATCH(Composições!A247,Orçamentária!A:A,0),1))</f>
        <v>m2</v>
      </c>
      <c r="E247" s="290"/>
      <c r="F247" s="259" t="s">
        <v>192</v>
      </c>
      <c r="G247" s="260" t="s">
        <v>1079</v>
      </c>
      <c r="H247" s="261"/>
      <c r="I247" s="261" t="str">
        <f>IF(ISNUMBER(G247),E247*G247,"")</f>
        <v/>
      </c>
      <c r="J247" s="280"/>
      <c r="K247" s="18"/>
      <c r="L247" s="174">
        <v>152.63</v>
      </c>
    </row>
    <row r="248" spans="1:12" x14ac:dyDescent="0.25">
      <c r="A248" s="291"/>
      <c r="B248" s="292"/>
      <c r="C248" s="155"/>
      <c r="D248" s="155"/>
      <c r="E248" s="293"/>
      <c r="F248" s="294"/>
      <c r="G248" s="262" t="s">
        <v>1079</v>
      </c>
      <c r="H248" s="155"/>
      <c r="I248" s="257" t="str">
        <f>IF(ISNUMBER(G248),E248*G248,"")</f>
        <v/>
      </c>
      <c r="J248" s="281"/>
      <c r="K248" s="19"/>
      <c r="L248" s="174">
        <v>152.63</v>
      </c>
    </row>
    <row r="249" spans="1:12" x14ac:dyDescent="0.25">
      <c r="A249" s="291"/>
      <c r="B249" s="292"/>
      <c r="C249" s="105" t="s">
        <v>153</v>
      </c>
      <c r="D249" s="105" t="s">
        <v>21</v>
      </c>
      <c r="E249" s="250">
        <v>0.4</v>
      </c>
      <c r="F249" s="176" t="s">
        <v>193</v>
      </c>
      <c r="G249" s="257">
        <v>19.018999999999998</v>
      </c>
      <c r="H249" s="176" t="s">
        <v>155</v>
      </c>
      <c r="I249" s="257">
        <f>IF(ISNUMBER(G249),E249*G249,"")</f>
        <v>7.6075999999999997</v>
      </c>
      <c r="J249" s="295">
        <f>SUM(I249:I260)</f>
        <v>62.968926000000003</v>
      </c>
      <c r="K249" s="29"/>
      <c r="L249" s="174">
        <v>152.63</v>
      </c>
    </row>
    <row r="250" spans="1:12" x14ac:dyDescent="0.25">
      <c r="A250" s="291"/>
      <c r="B250" s="292"/>
      <c r="C250" s="105" t="s">
        <v>38</v>
      </c>
      <c r="D250" s="105" t="s">
        <v>21</v>
      </c>
      <c r="E250" s="250">
        <v>0.4</v>
      </c>
      <c r="F250" s="176" t="s">
        <v>193</v>
      </c>
      <c r="G250" s="257">
        <v>14.325999999999999</v>
      </c>
      <c r="H250" s="176" t="s">
        <v>39</v>
      </c>
      <c r="I250" s="257">
        <f>IF(ISNUMBER(G250),E250*G250,"")</f>
        <v>5.7303999999999995</v>
      </c>
      <c r="J250" s="281"/>
      <c r="K250" s="19"/>
      <c r="L250" s="174">
        <v>152.63</v>
      </c>
    </row>
    <row r="251" spans="1:12" x14ac:dyDescent="0.25">
      <c r="A251" s="291"/>
      <c r="B251" s="292"/>
      <c r="C251" s="105" t="s">
        <v>194</v>
      </c>
      <c r="D251" s="105" t="s">
        <v>21</v>
      </c>
      <c r="E251" s="250">
        <v>1.1000000000000001</v>
      </c>
      <c r="F251" s="176" t="s">
        <v>193</v>
      </c>
      <c r="G251" s="257">
        <v>10.801499999999999</v>
      </c>
      <c r="H251" s="176" t="s">
        <v>195</v>
      </c>
      <c r="I251" s="257">
        <f>IF(ISNUMBER(G251),E251*G251,"")</f>
        <v>11.88165</v>
      </c>
      <c r="J251" s="281"/>
      <c r="K251" s="19"/>
      <c r="L251" s="174">
        <v>152.63</v>
      </c>
    </row>
    <row r="252" spans="1:12" ht="25.5" x14ac:dyDescent="0.25">
      <c r="A252" s="291"/>
      <c r="B252" s="292"/>
      <c r="C252" s="105" t="s">
        <v>183</v>
      </c>
      <c r="D252" s="105" t="s">
        <v>184</v>
      </c>
      <c r="E252" s="250">
        <v>1.6</v>
      </c>
      <c r="F252" s="176" t="s">
        <v>193</v>
      </c>
      <c r="G252" s="258">
        <v>3.4390000000000001</v>
      </c>
      <c r="H252" s="176" t="s">
        <v>185</v>
      </c>
      <c r="I252" s="257">
        <f>IF(ISNUMBER(G252),E252*G252,"")</f>
        <v>5.5024000000000006</v>
      </c>
      <c r="J252" s="281"/>
      <c r="K252" s="19"/>
      <c r="L252" s="174">
        <v>152.63</v>
      </c>
    </row>
    <row r="253" spans="1:12" ht="25.5" x14ac:dyDescent="0.25">
      <c r="A253" s="291"/>
      <c r="B253" s="292"/>
      <c r="C253" s="105" t="s">
        <v>196</v>
      </c>
      <c r="D253" s="105" t="s">
        <v>184</v>
      </c>
      <c r="E253" s="250">
        <v>1.65</v>
      </c>
      <c r="F253" s="176" t="s">
        <v>193</v>
      </c>
      <c r="G253" s="258">
        <v>8.7495000000000012</v>
      </c>
      <c r="H253" s="176" t="s">
        <v>197</v>
      </c>
      <c r="I253" s="257">
        <f>IF(ISNUMBER(G253),E253*G253,"")</f>
        <v>14.436675000000001</v>
      </c>
      <c r="J253" s="281"/>
      <c r="K253" s="19"/>
      <c r="L253" s="174">
        <v>152.63</v>
      </c>
    </row>
    <row r="254" spans="1:12" ht="25.5" x14ac:dyDescent="0.25">
      <c r="A254" s="291"/>
      <c r="B254" s="292"/>
      <c r="C254" s="105" t="s">
        <v>198</v>
      </c>
      <c r="D254" s="105" t="s">
        <v>184</v>
      </c>
      <c r="E254" s="250">
        <v>0.5</v>
      </c>
      <c r="F254" s="176" t="s">
        <v>193</v>
      </c>
      <c r="G254" s="258">
        <v>14.554</v>
      </c>
      <c r="H254" s="176" t="s">
        <v>199</v>
      </c>
      <c r="I254" s="257">
        <f>IF(ISNUMBER(G254),E254*G254,"")</f>
        <v>7.2770000000000001</v>
      </c>
      <c r="J254" s="281"/>
      <c r="K254" s="19"/>
      <c r="L254" s="174">
        <v>152.63</v>
      </c>
    </row>
    <row r="255" spans="1:12" x14ac:dyDescent="0.25">
      <c r="A255" s="291"/>
      <c r="B255" s="292"/>
      <c r="C255" s="105" t="s">
        <v>200</v>
      </c>
      <c r="D255" s="105" t="s">
        <v>75</v>
      </c>
      <c r="E255" s="250">
        <v>0.1</v>
      </c>
      <c r="F255" s="176" t="s">
        <v>193</v>
      </c>
      <c r="G255" s="258">
        <v>9.613999999999999</v>
      </c>
      <c r="H255" s="176" t="s">
        <v>201</v>
      </c>
      <c r="I255" s="257">
        <f>IF(ISNUMBER(G255),E255*G255,"")</f>
        <v>0.96139999999999992</v>
      </c>
      <c r="J255" s="281"/>
      <c r="K255" s="19"/>
      <c r="L255" s="174">
        <v>152.63</v>
      </c>
    </row>
    <row r="256" spans="1:12" x14ac:dyDescent="0.25">
      <c r="A256" s="291"/>
      <c r="B256" s="292"/>
      <c r="C256" s="105" t="s">
        <v>202</v>
      </c>
      <c r="D256" s="105" t="s">
        <v>21</v>
      </c>
      <c r="E256" s="250">
        <v>1.5E-3</v>
      </c>
      <c r="F256" s="176" t="s">
        <v>203</v>
      </c>
      <c r="G256" s="258">
        <v>16.406499999999998</v>
      </c>
      <c r="H256" s="176" t="s">
        <v>204</v>
      </c>
      <c r="I256" s="257">
        <f>IF(ISNUMBER(G256),E256*G256,"")</f>
        <v>2.4609749999999996E-2</v>
      </c>
      <c r="J256" s="281"/>
      <c r="K256" s="19"/>
      <c r="L256" s="174">
        <v>152.63</v>
      </c>
    </row>
    <row r="257" spans="1:12" x14ac:dyDescent="0.25">
      <c r="A257" s="291"/>
      <c r="B257" s="292"/>
      <c r="C257" s="105" t="s">
        <v>205</v>
      </c>
      <c r="D257" s="105" t="s">
        <v>21</v>
      </c>
      <c r="E257" s="250">
        <v>0.4</v>
      </c>
      <c r="F257" s="176" t="s">
        <v>203</v>
      </c>
      <c r="G257" s="258">
        <v>20.196999999999999</v>
      </c>
      <c r="H257" s="176" t="s">
        <v>206</v>
      </c>
      <c r="I257" s="257">
        <f>IF(ISNUMBER(G257),E257*G257,"")</f>
        <v>8.0787999999999993</v>
      </c>
      <c r="J257" s="281"/>
      <c r="K257" s="19"/>
      <c r="L257" s="174">
        <v>152.63</v>
      </c>
    </row>
    <row r="258" spans="1:12" x14ac:dyDescent="0.25">
      <c r="A258" s="291"/>
      <c r="B258" s="292"/>
      <c r="C258" s="105" t="s">
        <v>207</v>
      </c>
      <c r="D258" s="105" t="s">
        <v>208</v>
      </c>
      <c r="E258" s="250">
        <v>2.2499999999999999E-2</v>
      </c>
      <c r="F258" s="176" t="s">
        <v>203</v>
      </c>
      <c r="G258" s="258">
        <v>16.330500000000001</v>
      </c>
      <c r="H258" s="176" t="s">
        <v>209</v>
      </c>
      <c r="I258" s="257">
        <f>IF(ISNUMBER(G258),E258*G258,"")</f>
        <v>0.36743625000000002</v>
      </c>
      <c r="J258" s="281"/>
      <c r="K258" s="19"/>
      <c r="L258" s="174">
        <v>152.63</v>
      </c>
    </row>
    <row r="259" spans="1:12" x14ac:dyDescent="0.25">
      <c r="A259" s="291"/>
      <c r="B259" s="292"/>
      <c r="C259" s="105" t="s">
        <v>210</v>
      </c>
      <c r="D259" s="105" t="s">
        <v>75</v>
      </c>
      <c r="E259" s="250">
        <v>0.6</v>
      </c>
      <c r="F259" s="176" t="s">
        <v>203</v>
      </c>
      <c r="G259" s="258">
        <v>1.1875</v>
      </c>
      <c r="H259" s="176" t="s">
        <v>211</v>
      </c>
      <c r="I259" s="257">
        <f>IF(ISNUMBER(G259),E259*G259,"")</f>
        <v>0.71250000000000002</v>
      </c>
      <c r="J259" s="281"/>
      <c r="K259" s="19"/>
      <c r="L259" s="174">
        <v>152.63</v>
      </c>
    </row>
    <row r="260" spans="1:12" x14ac:dyDescent="0.25">
      <c r="A260" s="291"/>
      <c r="B260" s="292"/>
      <c r="C260" s="105" t="s">
        <v>212</v>
      </c>
      <c r="D260" s="105" t="s">
        <v>75</v>
      </c>
      <c r="E260" s="250">
        <v>1.4999999999999999E-2</v>
      </c>
      <c r="F260" s="176" t="s">
        <v>203</v>
      </c>
      <c r="G260" s="258">
        <v>25.897000000000002</v>
      </c>
      <c r="H260" s="176" t="s">
        <v>213</v>
      </c>
      <c r="I260" s="257">
        <f>IF(ISNUMBER(G260),E260*G260,"")</f>
        <v>0.38845499999999999</v>
      </c>
      <c r="J260" s="281"/>
      <c r="K260" s="19"/>
      <c r="L260" s="174">
        <v>152.63</v>
      </c>
    </row>
    <row r="261" spans="1:12" ht="15.75" thickBot="1" x14ac:dyDescent="0.3">
      <c r="A261" s="296"/>
      <c r="B261" s="297"/>
      <c r="C261" s="105"/>
      <c r="D261" s="105"/>
      <c r="E261" s="250"/>
      <c r="F261" s="176"/>
      <c r="G261" s="257" t="s">
        <v>1079</v>
      </c>
      <c r="H261" s="176"/>
      <c r="I261" s="257" t="str">
        <f>IF(ISNUMBER(G261),E261*G261,"")</f>
        <v/>
      </c>
      <c r="J261" s="281"/>
      <c r="K261" s="19"/>
      <c r="L261" s="174">
        <v>152.63</v>
      </c>
    </row>
    <row r="262" spans="1:12" ht="15.75" thickBot="1" x14ac:dyDescent="0.3">
      <c r="A262" s="288" t="s">
        <v>214</v>
      </c>
      <c r="B262" s="289" t="str">
        <f>INDEX(Orçamentária!A:B,MATCH(Composições!A262,Orçamentária!A:A,0),2)</f>
        <v>Limpeza final de obra</v>
      </c>
      <c r="C262" s="274"/>
      <c r="D262" s="265" t="str">
        <f>TRIM(INDEX(Orçamentária!C:C,MATCH(Composições!A262,Orçamentária!A:A,0),1))</f>
        <v>m2</v>
      </c>
      <c r="E262" s="290"/>
      <c r="F262" s="259" t="s">
        <v>215</v>
      </c>
      <c r="G262" s="260" t="s">
        <v>1079</v>
      </c>
      <c r="H262" s="261"/>
      <c r="I262" s="261" t="str">
        <f>IF(ISNUMBER(G262),E262*G262,"")</f>
        <v/>
      </c>
      <c r="J262" s="280"/>
      <c r="K262" s="18"/>
      <c r="L262" s="174">
        <v>300</v>
      </c>
    </row>
    <row r="263" spans="1:12" x14ac:dyDescent="0.25">
      <c r="A263" s="291"/>
      <c r="B263" s="292"/>
      <c r="C263" s="155"/>
      <c r="D263" s="155"/>
      <c r="E263" s="293"/>
      <c r="F263" s="294"/>
      <c r="G263" s="262" t="s">
        <v>1079</v>
      </c>
      <c r="H263" s="155"/>
      <c r="I263" s="257" t="str">
        <f>IF(ISNUMBER(G263),E263*G263,"")</f>
        <v/>
      </c>
      <c r="J263" s="281"/>
      <c r="K263" s="19"/>
      <c r="L263" s="174">
        <v>300</v>
      </c>
    </row>
    <row r="264" spans="1:12" x14ac:dyDescent="0.25">
      <c r="A264" s="291"/>
      <c r="B264" s="292"/>
      <c r="C264" s="105" t="s">
        <v>38</v>
      </c>
      <c r="D264" s="3" t="s">
        <v>21</v>
      </c>
      <c r="E264" s="250">
        <v>0.1</v>
      </c>
      <c r="F264" s="176" t="s">
        <v>216</v>
      </c>
      <c r="G264" s="257">
        <v>14.325999999999999</v>
      </c>
      <c r="H264" s="176" t="s">
        <v>39</v>
      </c>
      <c r="I264" s="257">
        <f>IF(ISNUMBER(G264),E264*G264,"")</f>
        <v>1.4325999999999999</v>
      </c>
      <c r="J264" s="295">
        <f>SUM(I264:I266)</f>
        <v>2.1296149999999998</v>
      </c>
      <c r="K264" s="29"/>
      <c r="L264" s="174">
        <v>300</v>
      </c>
    </row>
    <row r="265" spans="1:12" x14ac:dyDescent="0.25">
      <c r="A265" s="291"/>
      <c r="B265" s="292"/>
      <c r="C265" s="105" t="s">
        <v>217</v>
      </c>
      <c r="D265" s="105" t="s">
        <v>75</v>
      </c>
      <c r="E265" s="250">
        <v>5.0000000000000001E-3</v>
      </c>
      <c r="F265" s="176" t="s">
        <v>216</v>
      </c>
      <c r="G265" s="258">
        <v>6.0229999999999997</v>
      </c>
      <c r="H265" s="176" t="s">
        <v>218</v>
      </c>
      <c r="I265" s="257">
        <f>IF(ISNUMBER(G265),E265*G265,"")</f>
        <v>3.0114999999999999E-2</v>
      </c>
      <c r="J265" s="281"/>
      <c r="K265" s="19"/>
      <c r="L265" s="174">
        <v>300</v>
      </c>
    </row>
    <row r="266" spans="1:12" x14ac:dyDescent="0.25">
      <c r="A266" s="291"/>
      <c r="B266" s="292"/>
      <c r="C266" s="105" t="s">
        <v>219</v>
      </c>
      <c r="D266" s="105" t="s">
        <v>32</v>
      </c>
      <c r="E266" s="250">
        <v>0.05</v>
      </c>
      <c r="F266" s="176" t="s">
        <v>216</v>
      </c>
      <c r="G266" s="258">
        <v>13.337999999999999</v>
      </c>
      <c r="H266" s="176" t="s">
        <v>220</v>
      </c>
      <c r="I266" s="257">
        <f>IF(ISNUMBER(G266),E266*G266,"")</f>
        <v>0.66690000000000005</v>
      </c>
      <c r="J266" s="281"/>
      <c r="K266" s="19"/>
      <c r="L266" s="174">
        <v>300</v>
      </c>
    </row>
    <row r="267" spans="1:12" ht="15.75" thickBot="1" x14ac:dyDescent="0.3">
      <c r="A267" s="296"/>
      <c r="B267" s="297"/>
      <c r="C267" s="105"/>
      <c r="D267" s="105"/>
      <c r="E267" s="250"/>
      <c r="F267" s="176"/>
      <c r="G267" s="257" t="s">
        <v>1079</v>
      </c>
      <c r="H267" s="176"/>
      <c r="I267" s="257" t="str">
        <f>IF(ISNUMBER(G267),E267*G267,"")</f>
        <v/>
      </c>
      <c r="J267" s="281"/>
      <c r="K267" s="19"/>
      <c r="L267" s="174">
        <v>300</v>
      </c>
    </row>
    <row r="268" spans="1:12" ht="15.75" thickBot="1" x14ac:dyDescent="0.3">
      <c r="A268" s="288" t="s">
        <v>221</v>
      </c>
      <c r="B268" s="289" t="str">
        <f>INDEX(Orçamentária!A:B,MATCH(Composições!A268,Orçamentária!A:A,0),2)</f>
        <v>Abertura/fechamento rasgo em alvenaria</v>
      </c>
      <c r="C268" s="274"/>
      <c r="D268" s="265" t="str">
        <f>TRIM(INDEX(Orçamentária!C:C,MATCH(Composições!A268,Orçamentária!A:A,0),1))</f>
        <v>m</v>
      </c>
      <c r="E268" s="290"/>
      <c r="F268" s="259" t="s">
        <v>222</v>
      </c>
      <c r="G268" s="260" t="s">
        <v>1079</v>
      </c>
      <c r="H268" s="261"/>
      <c r="I268" s="261" t="str">
        <f>IF(ISNUMBER(G268),E268*G268,"")</f>
        <v/>
      </c>
      <c r="J268" s="280"/>
      <c r="K268" s="18"/>
      <c r="L268" s="174">
        <v>8.8699999999999992</v>
      </c>
    </row>
    <row r="269" spans="1:12" x14ac:dyDescent="0.25">
      <c r="A269" s="291"/>
      <c r="B269" s="292"/>
      <c r="C269" s="155"/>
      <c r="D269" s="155"/>
      <c r="E269" s="293"/>
      <c r="F269" s="294"/>
      <c r="G269" s="262" t="s">
        <v>1079</v>
      </c>
      <c r="H269" s="155"/>
      <c r="I269" s="257" t="str">
        <f>IF(ISNUMBER(G269),E269*G269,"")</f>
        <v/>
      </c>
      <c r="J269" s="281"/>
      <c r="K269" s="19"/>
      <c r="L269" s="174">
        <v>8.8699999999999992</v>
      </c>
    </row>
    <row r="270" spans="1:12" x14ac:dyDescent="0.25">
      <c r="A270" s="291"/>
      <c r="B270" s="292"/>
      <c r="C270" s="105" t="s">
        <v>144</v>
      </c>
      <c r="D270" s="105" t="s">
        <v>21</v>
      </c>
      <c r="E270" s="250">
        <v>3.4000000000000002E-2</v>
      </c>
      <c r="F270" s="176" t="s">
        <v>223</v>
      </c>
      <c r="G270" s="257">
        <v>15.218999999999999</v>
      </c>
      <c r="H270" s="176" t="s">
        <v>145</v>
      </c>
      <c r="I270" s="257">
        <f>IF(ISNUMBER(G270),E270*G270,"")</f>
        <v>0.51744600000000007</v>
      </c>
      <c r="J270" s="295">
        <f>SUM(I270:I274)</f>
        <v>14.119195718850001</v>
      </c>
      <c r="K270" s="29"/>
      <c r="L270" s="174">
        <v>8.8699999999999992</v>
      </c>
    </row>
    <row r="271" spans="1:12" x14ac:dyDescent="0.25">
      <c r="A271" s="291"/>
      <c r="B271" s="292"/>
      <c r="C271" s="105" t="s">
        <v>54</v>
      </c>
      <c r="D271" s="105" t="s">
        <v>21</v>
      </c>
      <c r="E271" s="250">
        <v>0.216</v>
      </c>
      <c r="F271" s="176" t="s">
        <v>223</v>
      </c>
      <c r="G271" s="257">
        <v>19.313499999999998</v>
      </c>
      <c r="H271" s="176" t="s">
        <v>55</v>
      </c>
      <c r="I271" s="257">
        <f>IF(ISNUMBER(G271),E271*G271,"")</f>
        <v>4.1717159999999991</v>
      </c>
      <c r="J271" s="281"/>
      <c r="K271" s="19"/>
      <c r="L271" s="174">
        <v>8.8699999999999992</v>
      </c>
    </row>
    <row r="272" spans="1:12" ht="25.5" x14ac:dyDescent="0.25">
      <c r="A272" s="291"/>
      <c r="B272" s="292"/>
      <c r="C272" s="105" t="s">
        <v>224</v>
      </c>
      <c r="D272" s="105" t="s">
        <v>21</v>
      </c>
      <c r="E272" s="250">
        <v>5.5E-2</v>
      </c>
      <c r="F272" s="176" t="s">
        <v>225</v>
      </c>
      <c r="G272" s="257">
        <v>14.772500000000001</v>
      </c>
      <c r="H272" s="176" t="s">
        <v>226</v>
      </c>
      <c r="I272" s="257">
        <f>IF(ISNUMBER(G272),E272*G272,"")</f>
        <v>0.81248750000000003</v>
      </c>
      <c r="J272" s="281"/>
      <c r="K272" s="19"/>
      <c r="L272" s="174">
        <v>8.8699999999999992</v>
      </c>
    </row>
    <row r="273" spans="1:12" x14ac:dyDescent="0.25">
      <c r="A273" s="291"/>
      <c r="B273" s="292"/>
      <c r="C273" s="105" t="s">
        <v>70</v>
      </c>
      <c r="D273" s="271" t="s">
        <v>21</v>
      </c>
      <c r="E273" s="250">
        <v>0.39100000000000001</v>
      </c>
      <c r="F273" s="176" t="s">
        <v>225</v>
      </c>
      <c r="G273" s="257">
        <v>18.743500000000001</v>
      </c>
      <c r="H273" s="176" t="s">
        <v>71</v>
      </c>
      <c r="I273" s="257">
        <f>IF(ISNUMBER(G273),E273*G273,"")</f>
        <v>7.3287085000000003</v>
      </c>
      <c r="J273" s="281"/>
      <c r="K273" s="19"/>
      <c r="L273" s="174">
        <v>8.8699999999999992</v>
      </c>
    </row>
    <row r="274" spans="1:12" ht="25.5" x14ac:dyDescent="0.25">
      <c r="A274" s="291"/>
      <c r="B274" s="292"/>
      <c r="C274" s="105" t="s">
        <v>227</v>
      </c>
      <c r="D274" s="105" t="s">
        <v>228</v>
      </c>
      <c r="E274" s="250">
        <v>3.0000000000000001E-3</v>
      </c>
      <c r="F274" s="176" t="s">
        <v>225</v>
      </c>
      <c r="G274" s="258">
        <v>429.61257294999996</v>
      </c>
      <c r="H274" s="176" t="s">
        <v>229</v>
      </c>
      <c r="I274" s="258">
        <f>IF(ISNUMBER(G274),E274*G274,"")</f>
        <v>1.28883771885</v>
      </c>
      <c r="J274" s="281"/>
      <c r="K274" s="19"/>
      <c r="L274" s="174">
        <v>8.8699999999999992</v>
      </c>
    </row>
    <row r="275" spans="1:12" ht="15.75" thickBot="1" x14ac:dyDescent="0.3">
      <c r="A275" s="296"/>
      <c r="B275" s="297"/>
      <c r="C275" s="105"/>
      <c r="D275" s="105"/>
      <c r="E275" s="250"/>
      <c r="F275" s="176"/>
      <c r="G275" s="257" t="s">
        <v>1079</v>
      </c>
      <c r="H275" s="176"/>
      <c r="I275" s="257" t="str">
        <f>IF(ISNUMBER(G275),E275*G275,"")</f>
        <v/>
      </c>
      <c r="J275" s="281"/>
      <c r="K275" s="19"/>
      <c r="L275" s="174">
        <v>8.8699999999999992</v>
      </c>
    </row>
    <row r="276" spans="1:12" ht="15.75" thickBot="1" x14ac:dyDescent="0.3">
      <c r="A276" s="288" t="s">
        <v>230</v>
      </c>
      <c r="B276" s="289" t="str">
        <f>INDEX(Orçamentária!A:B,MATCH(Composições!A276,Orçamentária!A:A,0),2)</f>
        <v>Furo em concreto de até 75mm de diâmetro</v>
      </c>
      <c r="C276" s="274"/>
      <c r="D276" s="265" t="str">
        <f>TRIM(INDEX(Orçamentária!C:C,MATCH(Composições!A276,Orçamentária!A:A,0),1))</f>
        <v>un</v>
      </c>
      <c r="E276" s="290"/>
      <c r="F276" s="259" t="s">
        <v>231</v>
      </c>
      <c r="G276" s="260" t="s">
        <v>1079</v>
      </c>
      <c r="H276" s="261"/>
      <c r="I276" s="261" t="str">
        <f>IF(ISNUMBER(G276),E276*G276,"")</f>
        <v/>
      </c>
      <c r="J276" s="280"/>
      <c r="K276" s="18"/>
      <c r="L276" s="174">
        <v>1</v>
      </c>
    </row>
    <row r="277" spans="1:12" x14ac:dyDescent="0.25">
      <c r="A277" s="291"/>
      <c r="B277" s="292"/>
      <c r="C277" s="155"/>
      <c r="D277" s="155"/>
      <c r="E277" s="293"/>
      <c r="F277" s="294"/>
      <c r="G277" s="262" t="s">
        <v>1079</v>
      </c>
      <c r="H277" s="155"/>
      <c r="I277" s="257" t="str">
        <f>IF(ISNUMBER(G277),E277*G277,"")</f>
        <v/>
      </c>
      <c r="J277" s="281"/>
      <c r="K277" s="19"/>
      <c r="L277" s="174">
        <v>1</v>
      </c>
    </row>
    <row r="278" spans="1:12" ht="25.5" x14ac:dyDescent="0.25">
      <c r="A278" s="291"/>
      <c r="B278" s="292"/>
      <c r="C278" s="105" t="s">
        <v>58</v>
      </c>
      <c r="D278" s="105" t="s">
        <v>59</v>
      </c>
      <c r="E278" s="250">
        <v>0.58699999999999997</v>
      </c>
      <c r="F278" s="176" t="s">
        <v>231</v>
      </c>
      <c r="G278" s="258">
        <v>17.793499999999998</v>
      </c>
      <c r="H278" s="176" t="s">
        <v>60</v>
      </c>
      <c r="I278" s="258">
        <f>IF(ISNUMBER(G278),E278*G278,"")</f>
        <v>10.444784499999999</v>
      </c>
      <c r="J278" s="295">
        <f>SUM(I278:I281)</f>
        <v>71.217101500000012</v>
      </c>
      <c r="K278" s="29"/>
      <c r="L278" s="174">
        <v>1</v>
      </c>
    </row>
    <row r="279" spans="1:12" ht="25.5" x14ac:dyDescent="0.25">
      <c r="A279" s="291"/>
      <c r="B279" s="292"/>
      <c r="C279" s="105" t="s">
        <v>61</v>
      </c>
      <c r="D279" s="105" t="s">
        <v>62</v>
      </c>
      <c r="E279" s="250">
        <v>1.29</v>
      </c>
      <c r="F279" s="176" t="s">
        <v>231</v>
      </c>
      <c r="G279" s="258">
        <v>16.482500000000002</v>
      </c>
      <c r="H279" s="176" t="s">
        <v>63</v>
      </c>
      <c r="I279" s="258">
        <f>IF(ISNUMBER(G279),E279*G279,"")</f>
        <v>21.262425000000004</v>
      </c>
      <c r="J279" s="281"/>
      <c r="K279" s="19"/>
      <c r="L279" s="174">
        <v>1</v>
      </c>
    </row>
    <row r="280" spans="1:12" ht="25.5" x14ac:dyDescent="0.25">
      <c r="A280" s="291"/>
      <c r="B280" s="292"/>
      <c r="C280" s="105" t="s">
        <v>224</v>
      </c>
      <c r="D280" s="105" t="s">
        <v>21</v>
      </c>
      <c r="E280" s="250">
        <v>0.29299999999999998</v>
      </c>
      <c r="F280" s="176" t="s">
        <v>231</v>
      </c>
      <c r="G280" s="257">
        <v>14.772500000000001</v>
      </c>
      <c r="H280" s="176" t="s">
        <v>226</v>
      </c>
      <c r="I280" s="258">
        <f>IF(ISNUMBER(G280),E280*G280,"")</f>
        <v>4.3283424999999998</v>
      </c>
      <c r="J280" s="281"/>
      <c r="K280" s="19"/>
      <c r="L280" s="174">
        <v>1</v>
      </c>
    </row>
    <row r="281" spans="1:12" x14ac:dyDescent="0.25">
      <c r="A281" s="291"/>
      <c r="B281" s="292"/>
      <c r="C281" s="105" t="s">
        <v>70</v>
      </c>
      <c r="D281" s="271" t="s">
        <v>21</v>
      </c>
      <c r="E281" s="250">
        <v>1.877</v>
      </c>
      <c r="F281" s="176" t="s">
        <v>231</v>
      </c>
      <c r="G281" s="257">
        <v>18.743500000000001</v>
      </c>
      <c r="H281" s="176" t="s">
        <v>71</v>
      </c>
      <c r="I281" s="258">
        <f>IF(ISNUMBER(G281),E281*G281,"")</f>
        <v>35.181549500000003</v>
      </c>
      <c r="J281" s="281"/>
      <c r="K281" s="19"/>
      <c r="L281" s="174">
        <v>1</v>
      </c>
    </row>
    <row r="282" spans="1:12" ht="15.75" thickBot="1" x14ac:dyDescent="0.3">
      <c r="A282" s="296"/>
      <c r="B282" s="297"/>
      <c r="C282" s="105"/>
      <c r="D282" s="105"/>
      <c r="E282" s="250"/>
      <c r="F282" s="176"/>
      <c r="G282" s="257" t="s">
        <v>1079</v>
      </c>
      <c r="H282" s="176"/>
      <c r="I282" s="257" t="str">
        <f>IF(ISNUMBER(G282),E282*G282,"")</f>
        <v/>
      </c>
      <c r="J282" s="281"/>
      <c r="K282" s="19"/>
      <c r="L282" s="174">
        <v>1</v>
      </c>
    </row>
    <row r="283" spans="1:12" ht="15.75" thickBot="1" x14ac:dyDescent="0.3">
      <c r="A283" s="288" t="s">
        <v>232</v>
      </c>
      <c r="B283" s="289" t="str">
        <f>INDEX(Orçamentária!A:B,MATCH(Composições!A283,Orçamentária!A:A,0),2)</f>
        <v>Furo em concreto para diâmetros maiores que 75mm</v>
      </c>
      <c r="C283" s="274"/>
      <c r="D283" s="265" t="str">
        <f>TRIM(INDEX(Orçamentária!C:C,MATCH(Composições!A283,Orçamentária!A:A,0),1))</f>
        <v>un</v>
      </c>
      <c r="E283" s="290"/>
      <c r="F283" s="259" t="s">
        <v>233</v>
      </c>
      <c r="G283" s="260" t="s">
        <v>1079</v>
      </c>
      <c r="H283" s="261"/>
      <c r="I283" s="261" t="str">
        <f>IF(ISNUMBER(G283),E283*G283,"")</f>
        <v/>
      </c>
      <c r="J283" s="280"/>
      <c r="K283" s="18"/>
      <c r="L283" s="174">
        <v>3</v>
      </c>
    </row>
    <row r="284" spans="1:12" x14ac:dyDescent="0.25">
      <c r="A284" s="291"/>
      <c r="B284" s="292"/>
      <c r="C284" s="155"/>
      <c r="D284" s="155"/>
      <c r="E284" s="293"/>
      <c r="F284" s="294"/>
      <c r="G284" s="262" t="s">
        <v>1079</v>
      </c>
      <c r="H284" s="155"/>
      <c r="I284" s="257" t="str">
        <f>IF(ISNUMBER(G284),E284*G284,"")</f>
        <v/>
      </c>
      <c r="J284" s="281"/>
      <c r="K284" s="19"/>
      <c r="L284" s="174">
        <v>3</v>
      </c>
    </row>
    <row r="285" spans="1:12" ht="25.5" x14ac:dyDescent="0.25">
      <c r="A285" s="291"/>
      <c r="B285" s="292"/>
      <c r="C285" s="105" t="s">
        <v>58</v>
      </c>
      <c r="D285" s="105" t="s">
        <v>59</v>
      </c>
      <c r="E285" s="250">
        <v>0.75</v>
      </c>
      <c r="F285" s="176" t="s">
        <v>233</v>
      </c>
      <c r="G285" s="258">
        <v>17.793499999999998</v>
      </c>
      <c r="H285" s="176" t="s">
        <v>60</v>
      </c>
      <c r="I285" s="258">
        <f>IF(ISNUMBER(G285),E285*G285,"")</f>
        <v>13.345124999999999</v>
      </c>
      <c r="J285" s="295">
        <f>SUM(I285:I288)</f>
        <v>90.959659500000001</v>
      </c>
      <c r="K285" s="29"/>
      <c r="L285" s="174">
        <v>3</v>
      </c>
    </row>
    <row r="286" spans="1:12" ht="25.5" x14ac:dyDescent="0.25">
      <c r="A286" s="291"/>
      <c r="B286" s="292"/>
      <c r="C286" s="105" t="s">
        <v>61</v>
      </c>
      <c r="D286" s="105" t="s">
        <v>62</v>
      </c>
      <c r="E286" s="250">
        <v>1.647</v>
      </c>
      <c r="F286" s="176" t="s">
        <v>233</v>
      </c>
      <c r="G286" s="258">
        <v>16.482500000000002</v>
      </c>
      <c r="H286" s="176" t="s">
        <v>63</v>
      </c>
      <c r="I286" s="258">
        <f>IF(ISNUMBER(G286),E286*G286,"")</f>
        <v>27.146677500000003</v>
      </c>
      <c r="J286" s="281"/>
      <c r="K286" s="19"/>
      <c r="L286" s="174">
        <v>3</v>
      </c>
    </row>
    <row r="287" spans="1:12" ht="25.5" x14ac:dyDescent="0.25">
      <c r="A287" s="291"/>
      <c r="B287" s="292"/>
      <c r="C287" s="105" t="s">
        <v>224</v>
      </c>
      <c r="D287" s="105" t="s">
        <v>21</v>
      </c>
      <c r="E287" s="250">
        <v>0.375</v>
      </c>
      <c r="F287" s="176" t="s">
        <v>233</v>
      </c>
      <c r="G287" s="257">
        <v>14.772500000000001</v>
      </c>
      <c r="H287" s="176" t="s">
        <v>226</v>
      </c>
      <c r="I287" s="258">
        <f>IF(ISNUMBER(G287),E287*G287,"")</f>
        <v>5.5396875000000003</v>
      </c>
      <c r="J287" s="281"/>
      <c r="K287" s="19"/>
      <c r="L287" s="174">
        <v>3</v>
      </c>
    </row>
    <row r="288" spans="1:12" x14ac:dyDescent="0.25">
      <c r="A288" s="291"/>
      <c r="B288" s="292"/>
      <c r="C288" s="105" t="s">
        <v>70</v>
      </c>
      <c r="D288" s="271" t="s">
        <v>21</v>
      </c>
      <c r="E288" s="250">
        <v>2.3969999999999998</v>
      </c>
      <c r="F288" s="176" t="s">
        <v>233</v>
      </c>
      <c r="G288" s="257">
        <v>18.743500000000001</v>
      </c>
      <c r="H288" s="176" t="s">
        <v>71</v>
      </c>
      <c r="I288" s="258">
        <f>IF(ISNUMBER(G288),E288*G288,"")</f>
        <v>44.928169499999996</v>
      </c>
      <c r="J288" s="281"/>
      <c r="K288" s="19"/>
      <c r="L288" s="174">
        <v>3</v>
      </c>
    </row>
    <row r="289" spans="1:12" ht="15.75" thickBot="1" x14ac:dyDescent="0.3">
      <c r="A289" s="296"/>
      <c r="B289" s="297"/>
      <c r="C289" s="105"/>
      <c r="D289" s="105"/>
      <c r="E289" s="250"/>
      <c r="F289" s="176"/>
      <c r="G289" s="257" t="s">
        <v>1079</v>
      </c>
      <c r="H289" s="176"/>
      <c r="I289" s="257" t="str">
        <f>IF(ISNUMBER(G289),E289*G289,"")</f>
        <v/>
      </c>
      <c r="J289" s="281"/>
      <c r="K289" s="19"/>
      <c r="L289" s="174">
        <v>3</v>
      </c>
    </row>
    <row r="290" spans="1:12" ht="15.75" thickBot="1" x14ac:dyDescent="0.3">
      <c r="A290" s="288" t="s">
        <v>234</v>
      </c>
      <c r="B290" s="289" t="str">
        <f>INDEX(Orçamentária!A:B,MATCH(Composições!A290,Orçamentária!A:A,0),2)</f>
        <v>Concreto virado em betoneira, fck = 15 MPa</v>
      </c>
      <c r="C290" s="274"/>
      <c r="D290" s="265" t="str">
        <f>TRIM(INDEX(Orçamentária!C:C,MATCH(Composições!A290,Orçamentária!A:A,0),1))</f>
        <v>m3</v>
      </c>
      <c r="E290" s="290"/>
      <c r="F290" s="259" t="s">
        <v>235</v>
      </c>
      <c r="G290" s="260" t="s">
        <v>1079</v>
      </c>
      <c r="H290" s="261"/>
      <c r="I290" s="261" t="str">
        <f>IF(ISNUMBER(G290),E290*G290,"")</f>
        <v/>
      </c>
      <c r="J290" s="280"/>
      <c r="K290" s="18"/>
      <c r="L290" s="174">
        <v>4.2699999999999996</v>
      </c>
    </row>
    <row r="291" spans="1:12" x14ac:dyDescent="0.25">
      <c r="A291" s="291"/>
      <c r="B291" s="292"/>
      <c r="C291" s="155"/>
      <c r="D291" s="155"/>
      <c r="E291" s="293"/>
      <c r="F291" s="294"/>
      <c r="G291" s="262" t="s">
        <v>1079</v>
      </c>
      <c r="H291" s="155"/>
      <c r="I291" s="257" t="str">
        <f>IF(ISNUMBER(G291),E291*G291,"")</f>
        <v/>
      </c>
      <c r="J291" s="281"/>
      <c r="K291" s="19"/>
      <c r="L291" s="174">
        <v>4.2699999999999996</v>
      </c>
    </row>
    <row r="292" spans="1:12" ht="25.5" x14ac:dyDescent="0.25">
      <c r="A292" s="291"/>
      <c r="B292" s="292"/>
      <c r="C292" s="105" t="s">
        <v>236</v>
      </c>
      <c r="D292" s="271" t="s">
        <v>228</v>
      </c>
      <c r="E292" s="250">
        <v>1</v>
      </c>
      <c r="F292" s="176" t="s">
        <v>237</v>
      </c>
      <c r="G292" s="257">
        <v>150.96394899999999</v>
      </c>
      <c r="H292" s="176" t="s">
        <v>237</v>
      </c>
      <c r="I292" s="258">
        <f>IF(ISNUMBER(G292),E292*G292,"")</f>
        <v>150.96394899999999</v>
      </c>
      <c r="J292" s="295">
        <f>SUM(I292:I301)</f>
        <v>451.48440603999995</v>
      </c>
      <c r="K292" s="29"/>
      <c r="L292" s="174">
        <v>4.2699999999999996</v>
      </c>
    </row>
    <row r="293" spans="1:12" x14ac:dyDescent="0.25">
      <c r="A293" s="291"/>
      <c r="B293" s="292"/>
      <c r="C293" s="105" t="s">
        <v>238</v>
      </c>
      <c r="D293" s="271" t="s">
        <v>228</v>
      </c>
      <c r="E293" s="250">
        <v>0.80500000000000005</v>
      </c>
      <c r="F293" s="176" t="s">
        <v>239</v>
      </c>
      <c r="G293" s="258">
        <v>93.8125</v>
      </c>
      <c r="H293" s="176" t="s">
        <v>240</v>
      </c>
      <c r="I293" s="258">
        <f>IF(ISNUMBER(G293),E293*G293,"")</f>
        <v>75.519062500000004</v>
      </c>
      <c r="J293" s="281"/>
      <c r="K293" s="19"/>
      <c r="L293" s="174">
        <v>4.2699999999999996</v>
      </c>
    </row>
    <row r="294" spans="1:12" x14ac:dyDescent="0.25">
      <c r="A294" s="291"/>
      <c r="B294" s="292"/>
      <c r="C294" s="105" t="s">
        <v>241</v>
      </c>
      <c r="D294" s="271" t="s">
        <v>75</v>
      </c>
      <c r="E294" s="250">
        <v>273.06</v>
      </c>
      <c r="F294" s="176" t="s">
        <v>239</v>
      </c>
      <c r="G294" s="258">
        <v>0.38</v>
      </c>
      <c r="H294" s="176" t="s">
        <v>242</v>
      </c>
      <c r="I294" s="258">
        <f>IF(ISNUMBER(G294),E294*G294,"")</f>
        <v>103.7628</v>
      </c>
      <c r="J294" s="281"/>
      <c r="K294" s="19"/>
      <c r="L294" s="174">
        <v>4.2699999999999996</v>
      </c>
    </row>
    <row r="295" spans="1:12" x14ac:dyDescent="0.25">
      <c r="A295" s="291"/>
      <c r="B295" s="292"/>
      <c r="C295" s="105" t="s">
        <v>243</v>
      </c>
      <c r="D295" s="271" t="s">
        <v>228</v>
      </c>
      <c r="E295" s="250">
        <v>0.57899999999999996</v>
      </c>
      <c r="F295" s="176" t="s">
        <v>239</v>
      </c>
      <c r="G295" s="258">
        <v>62.082499999999989</v>
      </c>
      <c r="H295" s="176" t="s">
        <v>244</v>
      </c>
      <c r="I295" s="258">
        <f>IF(ISNUMBER(G295),E295*G295,"")</f>
        <v>35.945767499999988</v>
      </c>
      <c r="J295" s="281"/>
      <c r="K295" s="19"/>
      <c r="L295" s="174">
        <v>4.2699999999999996</v>
      </c>
    </row>
    <row r="296" spans="1:12" ht="25.5" x14ac:dyDescent="0.25">
      <c r="A296" s="291"/>
      <c r="B296" s="292"/>
      <c r="C296" s="105" t="s">
        <v>245</v>
      </c>
      <c r="D296" s="271" t="s">
        <v>21</v>
      </c>
      <c r="E296" s="250">
        <v>1.47</v>
      </c>
      <c r="F296" s="176" t="s">
        <v>239</v>
      </c>
      <c r="G296" s="257">
        <v>14.411499999999998</v>
      </c>
      <c r="H296" s="176" t="s">
        <v>246</v>
      </c>
      <c r="I296" s="258">
        <f>IF(ISNUMBER(G296),E296*G296,"")</f>
        <v>21.184904999999997</v>
      </c>
      <c r="J296" s="281"/>
      <c r="K296" s="19"/>
      <c r="L296" s="174">
        <v>4.2699999999999996</v>
      </c>
    </row>
    <row r="297" spans="1:12" x14ac:dyDescent="0.25">
      <c r="A297" s="291"/>
      <c r="B297" s="292"/>
      <c r="C297" s="105" t="s">
        <v>38</v>
      </c>
      <c r="D297" s="105" t="s">
        <v>21</v>
      </c>
      <c r="E297" s="250">
        <v>2.33</v>
      </c>
      <c r="F297" s="176" t="s">
        <v>239</v>
      </c>
      <c r="G297" s="257">
        <v>14.325999999999999</v>
      </c>
      <c r="H297" s="176" t="s">
        <v>39</v>
      </c>
      <c r="I297" s="258">
        <f>IF(ISNUMBER(G297),E297*G297,"")</f>
        <v>33.379579999999997</v>
      </c>
      <c r="J297" s="281"/>
      <c r="K297" s="19"/>
      <c r="L297" s="174">
        <v>4.2699999999999996</v>
      </c>
    </row>
    <row r="298" spans="1:12" ht="38.25" x14ac:dyDescent="0.25">
      <c r="A298" s="291"/>
      <c r="B298" s="292"/>
      <c r="C298" s="105" t="s">
        <v>247</v>
      </c>
      <c r="D298" s="271" t="s">
        <v>59</v>
      </c>
      <c r="E298" s="250">
        <v>0.76</v>
      </c>
      <c r="F298" s="176" t="s">
        <v>239</v>
      </c>
      <c r="G298" s="258">
        <v>1.1684999999999999</v>
      </c>
      <c r="H298" s="176" t="s">
        <v>248</v>
      </c>
      <c r="I298" s="258">
        <f>IF(ISNUMBER(G298),E298*G298,"")</f>
        <v>0.88805999999999996</v>
      </c>
      <c r="J298" s="281"/>
      <c r="K298" s="19"/>
      <c r="L298" s="174">
        <v>4.2699999999999996</v>
      </c>
    </row>
    <row r="299" spans="1:12" ht="38.25" x14ac:dyDescent="0.25">
      <c r="A299" s="291"/>
      <c r="B299" s="292"/>
      <c r="C299" s="105" t="s">
        <v>249</v>
      </c>
      <c r="D299" s="271" t="s">
        <v>62</v>
      </c>
      <c r="E299" s="250">
        <v>0.71</v>
      </c>
      <c r="F299" s="176" t="s">
        <v>239</v>
      </c>
      <c r="G299" s="258">
        <v>0.247</v>
      </c>
      <c r="H299" s="176" t="s">
        <v>250</v>
      </c>
      <c r="I299" s="258">
        <f>IF(ISNUMBER(G299),E299*G299,"")</f>
        <v>0.17537</v>
      </c>
      <c r="J299" s="281"/>
      <c r="K299" s="19"/>
      <c r="L299" s="174">
        <v>4.2699999999999996</v>
      </c>
    </row>
    <row r="300" spans="1:12" ht="38.25" x14ac:dyDescent="0.25">
      <c r="A300" s="291"/>
      <c r="B300" s="292"/>
      <c r="C300" s="105" t="s">
        <v>251</v>
      </c>
      <c r="D300" s="105" t="s">
        <v>252</v>
      </c>
      <c r="E300" s="250">
        <f>1*(E293+E295)</f>
        <v>1.3839999999999999</v>
      </c>
      <c r="F300" s="176" t="s">
        <v>17</v>
      </c>
      <c r="G300" s="258">
        <v>0.72471700000000006</v>
      </c>
      <c r="H300" s="176" t="s">
        <v>253</v>
      </c>
      <c r="I300" s="258">
        <f>IF(ISNUMBER(G300),E300*G300,"")</f>
        <v>1.0030083279999999</v>
      </c>
      <c r="J300" s="281"/>
      <c r="K300" s="19"/>
      <c r="L300" s="174">
        <v>4.2699999999999996</v>
      </c>
    </row>
    <row r="301" spans="1:12" ht="38.25" x14ac:dyDescent="0.25">
      <c r="A301" s="291"/>
      <c r="B301" s="292"/>
      <c r="C301" s="105" t="s">
        <v>254</v>
      </c>
      <c r="D301" s="271" t="s">
        <v>255</v>
      </c>
      <c r="E301" s="250">
        <f>(E293+E295)*20</f>
        <v>27.68</v>
      </c>
      <c r="F301" s="176" t="s">
        <v>17</v>
      </c>
      <c r="G301" s="258">
        <v>1.0354733999999999</v>
      </c>
      <c r="H301" s="176" t="s">
        <v>256</v>
      </c>
      <c r="I301" s="258">
        <f>IF(ISNUMBER(G301),E301*G301,"")</f>
        <v>28.661903711999997</v>
      </c>
      <c r="J301" s="281"/>
      <c r="K301" s="19"/>
      <c r="L301" s="174">
        <v>4.2699999999999996</v>
      </c>
    </row>
    <row r="302" spans="1:12" x14ac:dyDescent="0.25">
      <c r="A302" s="291"/>
      <c r="B302" s="292"/>
      <c r="C302" s="303"/>
      <c r="D302" s="271"/>
      <c r="E302" s="250"/>
      <c r="F302" s="176"/>
      <c r="G302" s="258" t="s">
        <v>1079</v>
      </c>
      <c r="H302" s="176"/>
      <c r="I302" s="258" t="str">
        <f>IF(ISNUMBER(G302),E302*G302,"")</f>
        <v/>
      </c>
      <c r="J302" s="281"/>
      <c r="K302" s="19"/>
      <c r="L302" s="174">
        <v>4.2699999999999996</v>
      </c>
    </row>
    <row r="303" spans="1:12" ht="25.5" x14ac:dyDescent="0.25">
      <c r="A303" s="291"/>
      <c r="B303" s="292"/>
      <c r="C303" s="2" t="s">
        <v>257</v>
      </c>
      <c r="D303" s="271"/>
      <c r="E303" s="250"/>
      <c r="F303" s="176"/>
      <c r="G303" s="258" t="s">
        <v>1079</v>
      </c>
      <c r="H303" s="176"/>
      <c r="I303" s="258" t="str">
        <f>IF(ISNUMBER(G303),E303*G303,"")</f>
        <v/>
      </c>
      <c r="J303" s="281"/>
      <c r="K303" s="19"/>
      <c r="L303" s="174">
        <v>4.2699999999999996</v>
      </c>
    </row>
    <row r="304" spans="1:12" ht="15.75" thickBot="1" x14ac:dyDescent="0.3">
      <c r="A304" s="296"/>
      <c r="B304" s="297"/>
      <c r="C304" s="105"/>
      <c r="D304" s="105"/>
      <c r="E304" s="250"/>
      <c r="F304" s="176"/>
      <c r="G304" s="257" t="s">
        <v>1079</v>
      </c>
      <c r="H304" s="176"/>
      <c r="I304" s="257" t="str">
        <f>IF(ISNUMBER(G304),E304*G304,"")</f>
        <v/>
      </c>
      <c r="J304" s="281"/>
      <c r="K304" s="19"/>
      <c r="L304" s="174">
        <v>4.2699999999999996</v>
      </c>
    </row>
    <row r="305" spans="1:12" ht="15.75" thickBot="1" x14ac:dyDescent="0.3">
      <c r="A305" s="288" t="s">
        <v>258</v>
      </c>
      <c r="B305" s="289" t="str">
        <f>INDEX(Orçamentária!A:B,MATCH(Composições!A305,Orçamentária!A:A,0),2)</f>
        <v>Concreto virado em betoneira, fck = 25MPa</v>
      </c>
      <c r="C305" s="274"/>
      <c r="D305" s="265" t="str">
        <f>TRIM(INDEX(Orçamentária!C:C,MATCH(Composições!A305,Orçamentária!A:A,0),1))</f>
        <v>m3</v>
      </c>
      <c r="E305" s="290"/>
      <c r="F305" s="259" t="s">
        <v>259</v>
      </c>
      <c r="G305" s="260" t="s">
        <v>1079</v>
      </c>
      <c r="H305" s="261"/>
      <c r="I305" s="261" t="str">
        <f>IF(ISNUMBER(G305),E305*G305,"")</f>
        <v/>
      </c>
      <c r="J305" s="280"/>
      <c r="K305" s="18"/>
      <c r="L305" s="174">
        <v>1.56</v>
      </c>
    </row>
    <row r="306" spans="1:12" x14ac:dyDescent="0.25">
      <c r="A306" s="291"/>
      <c r="B306" s="292"/>
      <c r="C306" s="155"/>
      <c r="D306" s="155"/>
      <c r="E306" s="293"/>
      <c r="F306" s="294"/>
      <c r="G306" s="262" t="s">
        <v>1079</v>
      </c>
      <c r="H306" s="155"/>
      <c r="I306" s="257" t="str">
        <f>IF(ISNUMBER(G306),E306*G306,"")</f>
        <v/>
      </c>
      <c r="J306" s="281"/>
      <c r="K306" s="19"/>
      <c r="L306" s="174">
        <v>1.56</v>
      </c>
    </row>
    <row r="307" spans="1:12" ht="25.5" x14ac:dyDescent="0.25">
      <c r="A307" s="291"/>
      <c r="B307" s="292"/>
      <c r="C307" s="105" t="s">
        <v>236</v>
      </c>
      <c r="D307" s="271" t="s">
        <v>228</v>
      </c>
      <c r="E307" s="250">
        <v>1</v>
      </c>
      <c r="F307" s="176" t="s">
        <v>237</v>
      </c>
      <c r="G307" s="257">
        <v>150.96394899999999</v>
      </c>
      <c r="H307" s="176" t="s">
        <v>237</v>
      </c>
      <c r="I307" s="257">
        <f>IF(ISNUMBER(G307),E307*G307,"")</f>
        <v>150.96394899999999</v>
      </c>
      <c r="J307" s="295">
        <f>SUM(I307:I316)</f>
        <v>476.80909145999999</v>
      </c>
      <c r="K307" s="29"/>
      <c r="L307" s="174">
        <v>1.56</v>
      </c>
    </row>
    <row r="308" spans="1:12" x14ac:dyDescent="0.25">
      <c r="A308" s="291"/>
      <c r="B308" s="292"/>
      <c r="C308" s="105" t="s">
        <v>238</v>
      </c>
      <c r="D308" s="271" t="s">
        <v>228</v>
      </c>
      <c r="E308" s="250">
        <v>0.72299999999999998</v>
      </c>
      <c r="F308" s="176" t="s">
        <v>260</v>
      </c>
      <c r="G308" s="258">
        <v>93.8125</v>
      </c>
      <c r="H308" s="176" t="s">
        <v>240</v>
      </c>
      <c r="I308" s="257">
        <f>IF(ISNUMBER(G308),E308*G308,"")</f>
        <v>67.826437499999997</v>
      </c>
      <c r="J308" s="281"/>
      <c r="K308" s="19"/>
      <c r="L308" s="174">
        <v>1.56</v>
      </c>
    </row>
    <row r="309" spans="1:12" x14ac:dyDescent="0.25">
      <c r="A309" s="291"/>
      <c r="B309" s="292"/>
      <c r="C309" s="105" t="s">
        <v>241</v>
      </c>
      <c r="D309" s="271" t="s">
        <v>75</v>
      </c>
      <c r="E309" s="250">
        <v>362.66</v>
      </c>
      <c r="F309" s="176" t="s">
        <v>260</v>
      </c>
      <c r="G309" s="258">
        <v>0.38</v>
      </c>
      <c r="H309" s="176" t="s">
        <v>242</v>
      </c>
      <c r="I309" s="257">
        <f>IF(ISNUMBER(G309),E309*G309,"")</f>
        <v>137.8108</v>
      </c>
      <c r="J309" s="281"/>
      <c r="K309" s="19"/>
      <c r="L309" s="174">
        <v>1.56</v>
      </c>
    </row>
    <row r="310" spans="1:12" x14ac:dyDescent="0.25">
      <c r="A310" s="291"/>
      <c r="B310" s="292"/>
      <c r="C310" s="105" t="s">
        <v>243</v>
      </c>
      <c r="D310" s="271" t="s">
        <v>228</v>
      </c>
      <c r="E310" s="250">
        <v>0.59299999999999997</v>
      </c>
      <c r="F310" s="176" t="s">
        <v>260</v>
      </c>
      <c r="G310" s="258">
        <v>62.082499999999989</v>
      </c>
      <c r="H310" s="176" t="s">
        <v>244</v>
      </c>
      <c r="I310" s="257">
        <f>IF(ISNUMBER(G310),E310*G310,"")</f>
        <v>36.814922499999994</v>
      </c>
      <c r="J310" s="281"/>
      <c r="K310" s="19"/>
      <c r="L310" s="174">
        <v>1.56</v>
      </c>
    </row>
    <row r="311" spans="1:12" x14ac:dyDescent="0.25">
      <c r="A311" s="291"/>
      <c r="B311" s="292"/>
      <c r="C311" s="105" t="s">
        <v>38</v>
      </c>
      <c r="D311" s="271" t="s">
        <v>21</v>
      </c>
      <c r="E311" s="250">
        <f>2.31</f>
        <v>2.31</v>
      </c>
      <c r="F311" s="176" t="s">
        <v>260</v>
      </c>
      <c r="G311" s="257">
        <v>14.325999999999999</v>
      </c>
      <c r="H311" s="176" t="s">
        <v>39</v>
      </c>
      <c r="I311" s="257">
        <f>IF(ISNUMBER(G311),E311*G311,"")</f>
        <v>33.093060000000001</v>
      </c>
      <c r="J311" s="281"/>
      <c r="K311" s="19"/>
      <c r="L311" s="174">
        <v>1.56</v>
      </c>
    </row>
    <row r="312" spans="1:12" ht="25.5" x14ac:dyDescent="0.25">
      <c r="A312" s="291"/>
      <c r="B312" s="292"/>
      <c r="C312" s="105" t="s">
        <v>245</v>
      </c>
      <c r="D312" s="271" t="s">
        <v>21</v>
      </c>
      <c r="E312" s="250">
        <v>1.46</v>
      </c>
      <c r="F312" s="176" t="s">
        <v>260</v>
      </c>
      <c r="G312" s="257">
        <v>14.411499999999998</v>
      </c>
      <c r="H312" s="176" t="s">
        <v>246</v>
      </c>
      <c r="I312" s="257">
        <f>IF(ISNUMBER(G312),E312*G312,"")</f>
        <v>21.040789999999998</v>
      </c>
      <c r="J312" s="281"/>
      <c r="K312" s="19"/>
      <c r="L312" s="174">
        <v>1.56</v>
      </c>
    </row>
    <row r="313" spans="1:12" ht="38.25" x14ac:dyDescent="0.25">
      <c r="A313" s="291"/>
      <c r="B313" s="292"/>
      <c r="C313" s="105" t="s">
        <v>247</v>
      </c>
      <c r="D313" s="271" t="s">
        <v>59</v>
      </c>
      <c r="E313" s="250">
        <v>0.75</v>
      </c>
      <c r="F313" s="176" t="s">
        <v>260</v>
      </c>
      <c r="G313" s="258">
        <v>1.1684999999999999</v>
      </c>
      <c r="H313" s="176" t="s">
        <v>248</v>
      </c>
      <c r="I313" s="257">
        <f>IF(ISNUMBER(G313),E313*G313,"")</f>
        <v>0.8763749999999999</v>
      </c>
      <c r="J313" s="281"/>
      <c r="K313" s="19"/>
      <c r="L313" s="174">
        <v>1.56</v>
      </c>
    </row>
    <row r="314" spans="1:12" ht="38.25" x14ac:dyDescent="0.25">
      <c r="A314" s="291"/>
      <c r="B314" s="292"/>
      <c r="C314" s="105" t="s">
        <v>249</v>
      </c>
      <c r="D314" s="105" t="s">
        <v>62</v>
      </c>
      <c r="E314" s="250">
        <v>0.71</v>
      </c>
      <c r="F314" s="176" t="s">
        <v>260</v>
      </c>
      <c r="G314" s="258">
        <v>0.247</v>
      </c>
      <c r="H314" s="176" t="s">
        <v>250</v>
      </c>
      <c r="I314" s="257">
        <f>IF(ISNUMBER(G314),E314*G314,"")</f>
        <v>0.17537</v>
      </c>
      <c r="J314" s="281"/>
      <c r="K314" s="19"/>
      <c r="L314" s="174">
        <v>1.56</v>
      </c>
    </row>
    <row r="315" spans="1:12" ht="38.25" x14ac:dyDescent="0.25">
      <c r="A315" s="291"/>
      <c r="B315" s="292"/>
      <c r="C315" s="105" t="s">
        <v>251</v>
      </c>
      <c r="D315" s="105" t="s">
        <v>252</v>
      </c>
      <c r="E315" s="250">
        <f>1*(E308+E310)</f>
        <v>1.3159999999999998</v>
      </c>
      <c r="F315" s="176" t="s">
        <v>17</v>
      </c>
      <c r="G315" s="258">
        <v>0.72471700000000006</v>
      </c>
      <c r="H315" s="176" t="s">
        <v>253</v>
      </c>
      <c r="I315" s="258">
        <f>IF(ISNUMBER(G315),E315*G315,"")</f>
        <v>0.95372757199999991</v>
      </c>
      <c r="J315" s="281"/>
      <c r="K315" s="19"/>
      <c r="L315" s="174">
        <v>1.56</v>
      </c>
    </row>
    <row r="316" spans="1:12" ht="38.25" x14ac:dyDescent="0.25">
      <c r="A316" s="291"/>
      <c r="B316" s="292"/>
      <c r="C316" s="105" t="s">
        <v>254</v>
      </c>
      <c r="D316" s="271" t="s">
        <v>255</v>
      </c>
      <c r="E316" s="250">
        <f>(E308+E310)*20</f>
        <v>26.319999999999997</v>
      </c>
      <c r="F316" s="176" t="s">
        <v>17</v>
      </c>
      <c r="G316" s="258">
        <v>1.0354733999999999</v>
      </c>
      <c r="H316" s="176" t="s">
        <v>256</v>
      </c>
      <c r="I316" s="258">
        <f>IF(ISNUMBER(G316),E316*G316,"")</f>
        <v>27.253659887999994</v>
      </c>
      <c r="J316" s="281"/>
      <c r="K316" s="19"/>
      <c r="L316" s="174">
        <v>1.56</v>
      </c>
    </row>
    <row r="317" spans="1:12" x14ac:dyDescent="0.25">
      <c r="A317" s="291"/>
      <c r="B317" s="292"/>
      <c r="C317" s="303"/>
      <c r="D317" s="271"/>
      <c r="E317" s="250"/>
      <c r="F317" s="176"/>
      <c r="G317" s="258" t="s">
        <v>1079</v>
      </c>
      <c r="H317" s="176"/>
      <c r="I317" s="258" t="str">
        <f>IF(ISNUMBER(G317),E317*G317,"")</f>
        <v/>
      </c>
      <c r="J317" s="281"/>
      <c r="K317" s="19"/>
      <c r="L317" s="174">
        <v>1.56</v>
      </c>
    </row>
    <row r="318" spans="1:12" ht="25.5" x14ac:dyDescent="0.25">
      <c r="A318" s="291"/>
      <c r="B318" s="292"/>
      <c r="C318" s="2" t="s">
        <v>257</v>
      </c>
      <c r="D318" s="271"/>
      <c r="E318" s="250"/>
      <c r="F318" s="176"/>
      <c r="G318" s="258" t="s">
        <v>1079</v>
      </c>
      <c r="H318" s="176"/>
      <c r="I318" s="258" t="str">
        <f>IF(ISNUMBER(G318),E318*G318,"")</f>
        <v/>
      </c>
      <c r="J318" s="281"/>
      <c r="K318" s="19"/>
      <c r="L318" s="174">
        <v>1.56</v>
      </c>
    </row>
    <row r="319" spans="1:12" ht="15.75" thickBot="1" x14ac:dyDescent="0.3">
      <c r="A319" s="296"/>
      <c r="B319" s="297"/>
      <c r="C319" s="105"/>
      <c r="D319" s="105"/>
      <c r="E319" s="250"/>
      <c r="F319" s="176"/>
      <c r="G319" s="257" t="s">
        <v>1079</v>
      </c>
      <c r="H319" s="176"/>
      <c r="I319" s="257" t="str">
        <f>IF(ISNUMBER(G319),E319*G319,"")</f>
        <v/>
      </c>
      <c r="J319" s="281"/>
      <c r="K319" s="19"/>
      <c r="L319" s="174">
        <v>1.56</v>
      </c>
    </row>
    <row r="320" spans="1:12" ht="15.75" hidden="1" thickBot="1" x14ac:dyDescent="0.3">
      <c r="A320" s="180" t="s">
        <v>261</v>
      </c>
      <c r="B320" s="178" t="str">
        <f>INDEX(Orçamentária!A:B,MATCH(Composições!A320,Orçamentária!A:A,0),2)</f>
        <v>Escoramento metálico</v>
      </c>
      <c r="C320" s="30"/>
      <c r="D320" s="13" t="str">
        <f>TRIM(INDEX(Orçamentária!C:C,MATCH(Composições!A320,Orçamentária!A:A,0),1))</f>
        <v>m2 x mês</v>
      </c>
      <c r="E320" s="14"/>
      <c r="F320" s="15" t="s">
        <v>17</v>
      </c>
      <c r="G320" s="31" t="s">
        <v>1079</v>
      </c>
      <c r="H320" s="16"/>
      <c r="I320" s="16" t="str">
        <f>IF(ISNUMBER(G320),E320*G320,"")</f>
        <v/>
      </c>
      <c r="J320" s="17"/>
      <c r="K320" s="18"/>
      <c r="L320" s="174">
        <v>0</v>
      </c>
    </row>
    <row r="321" spans="1:12" ht="15.75" hidden="1" thickBot="1" x14ac:dyDescent="0.3">
      <c r="A321" s="181"/>
      <c r="B321" s="179"/>
      <c r="C321" s="20"/>
      <c r="D321" s="20"/>
      <c r="E321" s="21"/>
      <c r="F321" s="22"/>
      <c r="G321" s="19" t="s">
        <v>1079</v>
      </c>
      <c r="H321" s="20"/>
      <c r="I321" s="19" t="str">
        <f>IF(ISNUMBER(G321),E321*G321,"")</f>
        <v/>
      </c>
      <c r="J321" s="24"/>
      <c r="K321" s="19"/>
      <c r="L321" s="174">
        <v>0</v>
      </c>
    </row>
    <row r="322" spans="1:12" ht="39" hidden="1" thickBot="1" x14ac:dyDescent="0.3">
      <c r="A322" s="181"/>
      <c r="B322" s="179"/>
      <c r="C322" s="25" t="s">
        <v>262</v>
      </c>
      <c r="D322" s="36" t="s">
        <v>263</v>
      </c>
      <c r="E322" s="26">
        <v>0.85</v>
      </c>
      <c r="F322" s="27" t="s">
        <v>264</v>
      </c>
      <c r="G322" s="19">
        <v>5.2154999999999996</v>
      </c>
      <c r="H322" s="27" t="s">
        <v>265</v>
      </c>
      <c r="I322" s="19">
        <f>IF(ISNUMBER(G322),E322*G322,"")</f>
        <v>4.4331749999999994</v>
      </c>
      <c r="J322" s="28">
        <f>SUM(I322:I324)</f>
        <v>11.447975</v>
      </c>
      <c r="K322" s="29"/>
      <c r="L322" s="174">
        <v>0</v>
      </c>
    </row>
    <row r="323" spans="1:12" ht="15.75" hidden="1" thickBot="1" x14ac:dyDescent="0.3">
      <c r="A323" s="181"/>
      <c r="B323" s="179"/>
      <c r="C323" s="25" t="s">
        <v>266</v>
      </c>
      <c r="D323" s="36" t="s">
        <v>21</v>
      </c>
      <c r="E323" s="26">
        <v>0.2</v>
      </c>
      <c r="F323" s="27" t="s">
        <v>267</v>
      </c>
      <c r="G323" s="19">
        <v>16.159500000000001</v>
      </c>
      <c r="H323" s="27" t="s">
        <v>268</v>
      </c>
      <c r="I323" s="19">
        <f>IF(ISNUMBER(G323),E323*G323,"")</f>
        <v>3.2319000000000004</v>
      </c>
      <c r="J323" s="24"/>
      <c r="K323" s="19"/>
      <c r="L323" s="174">
        <v>0</v>
      </c>
    </row>
    <row r="324" spans="1:12" ht="26.25" hidden="1" thickBot="1" x14ac:dyDescent="0.3">
      <c r="A324" s="181"/>
      <c r="B324" s="179"/>
      <c r="C324" s="25" t="s">
        <v>183</v>
      </c>
      <c r="D324" s="36" t="s">
        <v>184</v>
      </c>
      <c r="E324" s="26">
        <v>1.1000000000000001</v>
      </c>
      <c r="F324" s="27" t="s">
        <v>267</v>
      </c>
      <c r="G324" s="19">
        <v>3.4390000000000001</v>
      </c>
      <c r="H324" s="27" t="s">
        <v>185</v>
      </c>
      <c r="I324" s="19">
        <f>IF(ISNUMBER(G324),E324*G324,"")</f>
        <v>3.7829000000000002</v>
      </c>
      <c r="J324" s="24"/>
      <c r="K324" s="19"/>
      <c r="L324" s="174">
        <v>0</v>
      </c>
    </row>
    <row r="325" spans="1:12" ht="15.75" hidden="1" thickBot="1" x14ac:dyDescent="0.3">
      <c r="A325" s="181"/>
      <c r="B325" s="179"/>
      <c r="C325" s="25"/>
      <c r="D325" s="25"/>
      <c r="E325" s="26"/>
      <c r="F325" s="27"/>
      <c r="G325" s="19" t="s">
        <v>1079</v>
      </c>
      <c r="H325" s="27"/>
      <c r="I325" s="19" t="str">
        <f>IF(ISNUMBER(G325),E325*G325,"")</f>
        <v/>
      </c>
      <c r="J325" s="24"/>
      <c r="K325" s="19"/>
      <c r="L325" s="174">
        <v>0</v>
      </c>
    </row>
    <row r="326" spans="1:12" ht="15.75" thickBot="1" x14ac:dyDescent="0.3">
      <c r="A326" s="288" t="s">
        <v>269</v>
      </c>
      <c r="B326" s="289" t="str">
        <f>INDEX(Orçamentária!A:B,MATCH(Composições!A326,Orçamentária!A:A,0),2)</f>
        <v>Estrutura metálica em aço</v>
      </c>
      <c r="C326" s="274"/>
      <c r="D326" s="265" t="str">
        <f>TRIM(INDEX(Orçamentária!C:C,MATCH(Composições!A326,Orçamentária!A:A,0),1))</f>
        <v>kg</v>
      </c>
      <c r="E326" s="290"/>
      <c r="F326" s="259" t="s">
        <v>270</v>
      </c>
      <c r="G326" s="260" t="s">
        <v>1079</v>
      </c>
      <c r="H326" s="261"/>
      <c r="I326" s="261" t="str">
        <f>IF(ISNUMBER(G326),E326*G326,"")</f>
        <v/>
      </c>
      <c r="J326" s="280"/>
      <c r="K326" s="18"/>
      <c r="L326" s="174">
        <v>215</v>
      </c>
    </row>
    <row r="327" spans="1:12" x14ac:dyDescent="0.25">
      <c r="A327" s="291"/>
      <c r="B327" s="292"/>
      <c r="C327" s="155"/>
      <c r="D327" s="155"/>
      <c r="E327" s="293"/>
      <c r="F327" s="294"/>
      <c r="G327" s="262" t="s">
        <v>1079</v>
      </c>
      <c r="H327" s="155"/>
      <c r="I327" s="257" t="str">
        <f>IF(ISNUMBER(G327),E327*G327,"")</f>
        <v/>
      </c>
      <c r="J327" s="281"/>
      <c r="K327" s="19"/>
      <c r="L327" s="174">
        <v>215</v>
      </c>
    </row>
    <row r="328" spans="1:12" ht="25.5" x14ac:dyDescent="0.25">
      <c r="A328" s="291"/>
      <c r="B328" s="292"/>
      <c r="C328" s="105" t="s">
        <v>271</v>
      </c>
      <c r="D328" s="271" t="s">
        <v>75</v>
      </c>
      <c r="E328" s="250">
        <v>0.01</v>
      </c>
      <c r="F328" s="176" t="s">
        <v>272</v>
      </c>
      <c r="G328" s="258">
        <v>38</v>
      </c>
      <c r="H328" s="176" t="s">
        <v>273</v>
      </c>
      <c r="I328" s="258">
        <f>IF(ISNUMBER(G328),E328*G328,"")</f>
        <v>0.38</v>
      </c>
      <c r="J328" s="295">
        <f>SUM(I328:I339)</f>
        <v>15.109607500000003</v>
      </c>
      <c r="K328" s="29"/>
      <c r="L328" s="174">
        <v>215</v>
      </c>
    </row>
    <row r="329" spans="1:12" ht="25.5" x14ac:dyDescent="0.25">
      <c r="A329" s="291"/>
      <c r="B329" s="292"/>
      <c r="C329" s="105" t="s">
        <v>274</v>
      </c>
      <c r="D329" s="271" t="s">
        <v>75</v>
      </c>
      <c r="E329" s="250">
        <v>0.27</v>
      </c>
      <c r="F329" s="176" t="s">
        <v>272</v>
      </c>
      <c r="G329" s="258">
        <v>4.4554999999999998</v>
      </c>
      <c r="H329" s="176" t="s">
        <v>275</v>
      </c>
      <c r="I329" s="258">
        <f>IF(ISNUMBER(G329),E329*G329,"")</f>
        <v>1.202985</v>
      </c>
      <c r="J329" s="281"/>
      <c r="K329" s="19"/>
      <c r="L329" s="174">
        <v>215</v>
      </c>
    </row>
    <row r="330" spans="1:12" x14ac:dyDescent="0.25">
      <c r="A330" s="291"/>
      <c r="B330" s="292"/>
      <c r="C330" s="105" t="s">
        <v>276</v>
      </c>
      <c r="D330" s="271" t="s">
        <v>75</v>
      </c>
      <c r="E330" s="250">
        <v>0.33</v>
      </c>
      <c r="F330" s="176" t="s">
        <v>272</v>
      </c>
      <c r="G330" s="258">
        <v>5.3295000000000003</v>
      </c>
      <c r="H330" s="176" t="s">
        <v>272</v>
      </c>
      <c r="I330" s="258">
        <f>IF(ISNUMBER(G330),E330*G330,"")</f>
        <v>1.7587350000000002</v>
      </c>
      <c r="J330" s="281"/>
      <c r="K330" s="19"/>
      <c r="L330" s="174">
        <v>215</v>
      </c>
    </row>
    <row r="331" spans="1:12" x14ac:dyDescent="0.25">
      <c r="A331" s="291"/>
      <c r="B331" s="292"/>
      <c r="C331" s="105" t="s">
        <v>277</v>
      </c>
      <c r="D331" s="271" t="s">
        <v>75</v>
      </c>
      <c r="E331" s="250">
        <v>2.5000000000000001E-2</v>
      </c>
      <c r="F331" s="176" t="s">
        <v>272</v>
      </c>
      <c r="G331" s="258">
        <v>16.7485</v>
      </c>
      <c r="H331" s="176" t="s">
        <v>278</v>
      </c>
      <c r="I331" s="258">
        <f>IF(ISNUMBER(G331),E331*G331,"")</f>
        <v>0.41871250000000004</v>
      </c>
      <c r="J331" s="281"/>
      <c r="K331" s="19"/>
      <c r="L331" s="174">
        <v>215</v>
      </c>
    </row>
    <row r="332" spans="1:12" ht="25.5" x14ac:dyDescent="0.25">
      <c r="A332" s="291"/>
      <c r="B332" s="292"/>
      <c r="C332" s="105" t="s">
        <v>279</v>
      </c>
      <c r="D332" s="271" t="s">
        <v>228</v>
      </c>
      <c r="E332" s="250">
        <v>0.05</v>
      </c>
      <c r="F332" s="176" t="s">
        <v>272</v>
      </c>
      <c r="G332" s="258">
        <v>8.3219999999999992</v>
      </c>
      <c r="H332" s="176" t="s">
        <v>280</v>
      </c>
      <c r="I332" s="258">
        <f>IF(ISNUMBER(G332),E332*G332,"")</f>
        <v>0.41609999999999997</v>
      </c>
      <c r="J332" s="281"/>
      <c r="K332" s="19"/>
      <c r="L332" s="174">
        <v>215</v>
      </c>
    </row>
    <row r="333" spans="1:12" x14ac:dyDescent="0.25">
      <c r="A333" s="291"/>
      <c r="B333" s="292"/>
      <c r="C333" s="105" t="s">
        <v>281</v>
      </c>
      <c r="D333" s="271" t="s">
        <v>75</v>
      </c>
      <c r="E333" s="250">
        <v>0.4</v>
      </c>
      <c r="F333" s="176" t="s">
        <v>272</v>
      </c>
      <c r="G333" s="258">
        <v>5.3674999999999997</v>
      </c>
      <c r="H333" s="176" t="s">
        <v>272</v>
      </c>
      <c r="I333" s="258">
        <f>IF(ISNUMBER(G333),E333*G333,"")</f>
        <v>2.1469999999999998</v>
      </c>
      <c r="J333" s="281"/>
      <c r="K333" s="19"/>
      <c r="L333" s="174">
        <v>215</v>
      </c>
    </row>
    <row r="334" spans="1:12" x14ac:dyDescent="0.25">
      <c r="A334" s="291"/>
      <c r="B334" s="292"/>
      <c r="C334" s="105" t="s">
        <v>48</v>
      </c>
      <c r="D334" s="271" t="s">
        <v>21</v>
      </c>
      <c r="E334" s="250">
        <f>0.2+0.2</f>
        <v>0.4</v>
      </c>
      <c r="F334" s="176" t="s">
        <v>272</v>
      </c>
      <c r="G334" s="257">
        <v>14.715499999999999</v>
      </c>
      <c r="H334" s="176" t="s">
        <v>49</v>
      </c>
      <c r="I334" s="258">
        <f>IF(ISNUMBER(G334),E334*G334,"")</f>
        <v>5.8861999999999997</v>
      </c>
      <c r="J334" s="281"/>
      <c r="K334" s="19"/>
      <c r="L334" s="174">
        <v>215</v>
      </c>
    </row>
    <row r="335" spans="1:12" x14ac:dyDescent="0.25">
      <c r="A335" s="291"/>
      <c r="B335" s="292"/>
      <c r="C335" s="105" t="s">
        <v>38</v>
      </c>
      <c r="D335" s="271" t="s">
        <v>21</v>
      </c>
      <c r="E335" s="250">
        <v>0.1</v>
      </c>
      <c r="F335" s="176" t="s">
        <v>272</v>
      </c>
      <c r="G335" s="257">
        <v>14.325999999999999</v>
      </c>
      <c r="H335" s="176" t="s">
        <v>39</v>
      </c>
      <c r="I335" s="258">
        <f>IF(ISNUMBER(G335),E335*G335,"")</f>
        <v>1.4325999999999999</v>
      </c>
      <c r="J335" s="281"/>
      <c r="K335" s="19"/>
      <c r="L335" s="174">
        <v>215</v>
      </c>
    </row>
    <row r="336" spans="1:12" ht="25.5" x14ac:dyDescent="0.25">
      <c r="A336" s="291"/>
      <c r="B336" s="292"/>
      <c r="C336" s="105" t="s">
        <v>282</v>
      </c>
      <c r="D336" s="271" t="s">
        <v>75</v>
      </c>
      <c r="E336" s="250">
        <v>0.05</v>
      </c>
      <c r="F336" s="176" t="s">
        <v>272</v>
      </c>
      <c r="G336" s="258">
        <v>5.3674999999999997</v>
      </c>
      <c r="H336" s="176" t="s">
        <v>272</v>
      </c>
      <c r="I336" s="258">
        <f>IF(ISNUMBER(G336),E336*G336,"")</f>
        <v>0.26837499999999997</v>
      </c>
      <c r="J336" s="281"/>
      <c r="K336" s="19"/>
      <c r="L336" s="174">
        <v>215</v>
      </c>
    </row>
    <row r="337" spans="1:12" ht="38.25" x14ac:dyDescent="0.25">
      <c r="A337" s="291"/>
      <c r="B337" s="292"/>
      <c r="C337" s="105" t="s">
        <v>283</v>
      </c>
      <c r="D337" s="271" t="s">
        <v>189</v>
      </c>
      <c r="E337" s="250">
        <v>0.05</v>
      </c>
      <c r="F337" s="176" t="s">
        <v>272</v>
      </c>
      <c r="G337" s="258">
        <v>14.9435</v>
      </c>
      <c r="H337" s="176" t="s">
        <v>272</v>
      </c>
      <c r="I337" s="258">
        <f>IF(ISNUMBER(G337),E337*G337,"")</f>
        <v>0.74717500000000003</v>
      </c>
      <c r="J337" s="281"/>
      <c r="K337" s="19"/>
      <c r="L337" s="174">
        <v>215</v>
      </c>
    </row>
    <row r="338" spans="1:12" x14ac:dyDescent="0.25">
      <c r="A338" s="291"/>
      <c r="B338" s="292"/>
      <c r="C338" s="105" t="s">
        <v>284</v>
      </c>
      <c r="D338" s="271" t="s">
        <v>21</v>
      </c>
      <c r="E338" s="250">
        <v>2.5000000000000001E-2</v>
      </c>
      <c r="F338" s="176" t="s">
        <v>272</v>
      </c>
      <c r="G338" s="258">
        <v>16.169</v>
      </c>
      <c r="H338" s="176" t="s">
        <v>272</v>
      </c>
      <c r="I338" s="258">
        <f>IF(ISNUMBER(G338),E338*G338,"")</f>
        <v>0.40422500000000006</v>
      </c>
      <c r="J338" s="281"/>
      <c r="K338" s="19"/>
      <c r="L338" s="174">
        <v>215</v>
      </c>
    </row>
    <row r="339" spans="1:12" ht="51" x14ac:dyDescent="0.25">
      <c r="A339" s="291"/>
      <c r="B339" s="292"/>
      <c r="C339" s="105" t="s">
        <v>285</v>
      </c>
      <c r="D339" s="271" t="s">
        <v>21</v>
      </c>
      <c r="E339" s="250">
        <v>0.5</v>
      </c>
      <c r="F339" s="176" t="s">
        <v>272</v>
      </c>
      <c r="G339" s="258">
        <v>9.5000000000000001E-2</v>
      </c>
      <c r="H339" s="176" t="s">
        <v>272</v>
      </c>
      <c r="I339" s="258">
        <f>IF(ISNUMBER(G339),E339*G339,"")</f>
        <v>4.7500000000000001E-2</v>
      </c>
      <c r="J339" s="281"/>
      <c r="K339" s="19"/>
      <c r="L339" s="174">
        <v>215</v>
      </c>
    </row>
    <row r="340" spans="1:12" ht="15.75" thickBot="1" x14ac:dyDescent="0.3">
      <c r="A340" s="296"/>
      <c r="B340" s="297"/>
      <c r="C340" s="105"/>
      <c r="D340" s="105"/>
      <c r="E340" s="250"/>
      <c r="F340" s="176"/>
      <c r="G340" s="257" t="s">
        <v>1079</v>
      </c>
      <c r="H340" s="176"/>
      <c r="I340" s="257" t="str">
        <f>IF(ISNUMBER(G340),E340*G340,"")</f>
        <v/>
      </c>
      <c r="J340" s="281"/>
      <c r="K340" s="19"/>
      <c r="L340" s="174">
        <v>215</v>
      </c>
    </row>
    <row r="341" spans="1:12" ht="15.75" thickBot="1" x14ac:dyDescent="0.3">
      <c r="A341" s="288" t="s">
        <v>286</v>
      </c>
      <c r="B341" s="289" t="str">
        <f>INDEX(Orçamentária!A:B,MATCH(Composições!A341,Orçamentária!A:A,0),2)</f>
        <v>Forma para estruturas de concreto</v>
      </c>
      <c r="C341" s="274"/>
      <c r="D341" s="265" t="str">
        <f>TRIM(INDEX(Orçamentária!C:C,MATCH(Composições!A341,Orçamentária!A:A,0),1))</f>
        <v>m2</v>
      </c>
      <c r="E341" s="290"/>
      <c r="F341" s="259" t="s">
        <v>287</v>
      </c>
      <c r="G341" s="260" t="s">
        <v>1079</v>
      </c>
      <c r="H341" s="261"/>
      <c r="I341" s="261" t="str">
        <f>IF(ISNUMBER(G341),E341*G341,"")</f>
        <v/>
      </c>
      <c r="J341" s="280"/>
      <c r="K341" s="18"/>
      <c r="L341" s="174">
        <v>14.28</v>
      </c>
    </row>
    <row r="342" spans="1:12" x14ac:dyDescent="0.25">
      <c r="A342" s="291"/>
      <c r="B342" s="292"/>
      <c r="C342" s="155"/>
      <c r="D342" s="155"/>
      <c r="E342" s="293"/>
      <c r="F342" s="294"/>
      <c r="G342" s="262" t="s">
        <v>1079</v>
      </c>
      <c r="H342" s="155"/>
      <c r="I342" s="257" t="str">
        <f>IF(ISNUMBER(G342),E342*G342,"")</f>
        <v/>
      </c>
      <c r="J342" s="281"/>
      <c r="K342" s="19"/>
      <c r="L342" s="174">
        <v>14.28</v>
      </c>
    </row>
    <row r="343" spans="1:12" ht="25.5" x14ac:dyDescent="0.25">
      <c r="A343" s="291"/>
      <c r="B343" s="292"/>
      <c r="C343" s="105" t="s">
        <v>288</v>
      </c>
      <c r="D343" s="3" t="s">
        <v>208</v>
      </c>
      <c r="E343" s="250">
        <v>0.01</v>
      </c>
      <c r="F343" s="176" t="s">
        <v>287</v>
      </c>
      <c r="G343" s="258">
        <v>4.351</v>
      </c>
      <c r="H343" s="176" t="s">
        <v>289</v>
      </c>
      <c r="I343" s="258">
        <f>IF(ISNUMBER(G343),E343*G343,"")</f>
        <v>4.351E-2</v>
      </c>
      <c r="J343" s="295">
        <f>SUM(I343:I349)</f>
        <v>105.00082088599999</v>
      </c>
      <c r="K343" s="29"/>
      <c r="L343" s="174">
        <v>14.28</v>
      </c>
    </row>
    <row r="344" spans="1:12" ht="25.5" x14ac:dyDescent="0.25">
      <c r="A344" s="291"/>
      <c r="B344" s="292"/>
      <c r="C344" s="105" t="s">
        <v>290</v>
      </c>
      <c r="D344" s="105" t="s">
        <v>184</v>
      </c>
      <c r="E344" s="250">
        <v>0.47399999999999998</v>
      </c>
      <c r="F344" s="176" t="s">
        <v>287</v>
      </c>
      <c r="G344" s="258">
        <v>9.9559999999999995</v>
      </c>
      <c r="H344" s="176" t="s">
        <v>291</v>
      </c>
      <c r="I344" s="258">
        <f>IF(ISNUMBER(G344),E344*G344,"")</f>
        <v>4.7191439999999991</v>
      </c>
      <c r="J344" s="281"/>
      <c r="K344" s="19"/>
      <c r="L344" s="174">
        <v>14.28</v>
      </c>
    </row>
    <row r="345" spans="1:12" x14ac:dyDescent="0.25">
      <c r="A345" s="291"/>
      <c r="B345" s="292"/>
      <c r="C345" s="105" t="s">
        <v>292</v>
      </c>
      <c r="D345" s="105" t="s">
        <v>75</v>
      </c>
      <c r="E345" s="250">
        <v>4.9000000000000002E-2</v>
      </c>
      <c r="F345" s="176" t="s">
        <v>287</v>
      </c>
      <c r="G345" s="258">
        <v>11.865499999999999</v>
      </c>
      <c r="H345" s="176" t="s">
        <v>293</v>
      </c>
      <c r="I345" s="258">
        <f>IF(ISNUMBER(G345),E345*G345,"")</f>
        <v>0.58140950000000002</v>
      </c>
      <c r="J345" s="281"/>
      <c r="K345" s="19"/>
      <c r="L345" s="174">
        <v>14.28</v>
      </c>
    </row>
    <row r="346" spans="1:12" x14ac:dyDescent="0.25">
      <c r="A346" s="291"/>
      <c r="B346" s="292"/>
      <c r="C346" s="105" t="s">
        <v>266</v>
      </c>
      <c r="D346" s="105" t="s">
        <v>21</v>
      </c>
      <c r="E346" s="250">
        <v>0.20499999999999999</v>
      </c>
      <c r="F346" s="176" t="s">
        <v>287</v>
      </c>
      <c r="G346" s="257">
        <v>16.159500000000001</v>
      </c>
      <c r="H346" s="176" t="s">
        <v>268</v>
      </c>
      <c r="I346" s="258">
        <f>IF(ISNUMBER(G346),E346*G346,"")</f>
        <v>3.3126975000000001</v>
      </c>
      <c r="J346" s="281"/>
      <c r="K346" s="19"/>
      <c r="L346" s="174">
        <v>14.28</v>
      </c>
    </row>
    <row r="347" spans="1:12" x14ac:dyDescent="0.25">
      <c r="A347" s="291"/>
      <c r="B347" s="292"/>
      <c r="C347" s="105" t="s">
        <v>153</v>
      </c>
      <c r="D347" s="105" t="s">
        <v>21</v>
      </c>
      <c r="E347" s="250">
        <v>1.1200000000000001</v>
      </c>
      <c r="F347" s="176" t="s">
        <v>287</v>
      </c>
      <c r="G347" s="257">
        <v>19.018999999999998</v>
      </c>
      <c r="H347" s="176" t="s">
        <v>155</v>
      </c>
      <c r="I347" s="258">
        <f>IF(ISNUMBER(G347),E347*G347,"")</f>
        <v>21.301279999999998</v>
      </c>
      <c r="J347" s="281"/>
      <c r="K347" s="19"/>
      <c r="L347" s="174">
        <v>14.28</v>
      </c>
    </row>
    <row r="348" spans="1:12" ht="25.5" x14ac:dyDescent="0.25">
      <c r="A348" s="291"/>
      <c r="B348" s="292"/>
      <c r="C348" s="105" t="s">
        <v>294</v>
      </c>
      <c r="D348" s="105" t="s">
        <v>189</v>
      </c>
      <c r="E348" s="250">
        <v>0.621</v>
      </c>
      <c r="F348" s="176" t="s">
        <v>287</v>
      </c>
      <c r="G348" s="258">
        <v>71.522117999999992</v>
      </c>
      <c r="H348" s="176" t="s">
        <v>295</v>
      </c>
      <c r="I348" s="258">
        <f>IF(ISNUMBER(G348),E348*G348,"")</f>
        <v>44.415235277999997</v>
      </c>
      <c r="J348" s="281"/>
      <c r="K348" s="19"/>
      <c r="L348" s="174">
        <v>14.28</v>
      </c>
    </row>
    <row r="349" spans="1:12" x14ac:dyDescent="0.25">
      <c r="A349" s="291"/>
      <c r="B349" s="292"/>
      <c r="C349" s="105" t="s">
        <v>296</v>
      </c>
      <c r="D349" s="105" t="s">
        <v>184</v>
      </c>
      <c r="E349" s="250">
        <v>1.8160000000000001</v>
      </c>
      <c r="F349" s="176" t="s">
        <v>287</v>
      </c>
      <c r="G349" s="258">
        <v>16.865387999999999</v>
      </c>
      <c r="H349" s="176" t="s">
        <v>297</v>
      </c>
      <c r="I349" s="258">
        <f>IF(ISNUMBER(G349),E349*G349,"")</f>
        <v>30.627544608000001</v>
      </c>
      <c r="J349" s="281"/>
      <c r="K349" s="19"/>
      <c r="L349" s="174">
        <v>14.28</v>
      </c>
    </row>
    <row r="350" spans="1:12" ht="15.75" thickBot="1" x14ac:dyDescent="0.3">
      <c r="A350" s="296"/>
      <c r="B350" s="297"/>
      <c r="C350" s="105"/>
      <c r="D350" s="105"/>
      <c r="E350" s="250"/>
      <c r="F350" s="176"/>
      <c r="G350" s="257" t="s">
        <v>1079</v>
      </c>
      <c r="H350" s="176"/>
      <c r="I350" s="257" t="str">
        <f>IF(ISNUMBER(G350),E350*G350,"")</f>
        <v/>
      </c>
      <c r="J350" s="281"/>
      <c r="K350" s="19"/>
      <c r="L350" s="174">
        <v>14.28</v>
      </c>
    </row>
    <row r="351" spans="1:12" ht="26.25" thickBot="1" x14ac:dyDescent="0.3">
      <c r="A351" s="288" t="s">
        <v>298</v>
      </c>
      <c r="B351" s="289" t="str">
        <f>INDEX(Orçamentária!A:B,MATCH(Composições!A351,Orçamentária!A:A,0),2)</f>
        <v>Verga/contraverga/cinta em bloco de concreto canaleta 11,5 x 19 x 39 cm</v>
      </c>
      <c r="C351" s="274"/>
      <c r="D351" s="265" t="str">
        <f>TRIM(INDEX(Orçamentária!C:C,MATCH(Composições!A351,Orçamentária!A:A,0),1))</f>
        <v>m</v>
      </c>
      <c r="E351" s="290"/>
      <c r="F351" s="259" t="s">
        <v>299</v>
      </c>
      <c r="G351" s="260" t="s">
        <v>1079</v>
      </c>
      <c r="H351" s="261"/>
      <c r="I351" s="261" t="str">
        <f>IF(ISNUMBER(G351),E351*G351,"")</f>
        <v/>
      </c>
      <c r="J351" s="280"/>
      <c r="K351" s="18"/>
      <c r="L351" s="174">
        <v>22</v>
      </c>
    </row>
    <row r="352" spans="1:12" x14ac:dyDescent="0.25">
      <c r="A352" s="300"/>
      <c r="B352" s="292"/>
      <c r="C352" s="155"/>
      <c r="D352" s="155"/>
      <c r="E352" s="293"/>
      <c r="F352" s="294"/>
      <c r="G352" s="262" t="s">
        <v>1079</v>
      </c>
      <c r="H352" s="155"/>
      <c r="I352" s="257" t="str">
        <f>IF(ISNUMBER(G352),E352*G352,"")</f>
        <v/>
      </c>
      <c r="J352" s="281"/>
      <c r="K352" s="19"/>
      <c r="L352" s="174">
        <v>22</v>
      </c>
    </row>
    <row r="353" spans="1:12" x14ac:dyDescent="0.25">
      <c r="A353" s="300"/>
      <c r="B353" s="292"/>
      <c r="C353" s="105" t="s">
        <v>38</v>
      </c>
      <c r="D353" s="271" t="s">
        <v>21</v>
      </c>
      <c r="E353" s="250">
        <v>0.4</v>
      </c>
      <c r="F353" s="176" t="s">
        <v>300</v>
      </c>
      <c r="G353" s="257">
        <v>14.325999999999999</v>
      </c>
      <c r="H353" s="176" t="s">
        <v>39</v>
      </c>
      <c r="I353" s="258">
        <f>IF(ISNUMBER(G353),E353*G353,"")</f>
        <v>5.7303999999999995</v>
      </c>
      <c r="J353" s="295">
        <f>SUM(I353:I361)</f>
        <v>22.879083699999995</v>
      </c>
      <c r="K353" s="29"/>
      <c r="L353" s="174">
        <v>22</v>
      </c>
    </row>
    <row r="354" spans="1:12" x14ac:dyDescent="0.25">
      <c r="A354" s="300"/>
      <c r="B354" s="292"/>
      <c r="C354" s="105" t="s">
        <v>301</v>
      </c>
      <c r="D354" s="271" t="s">
        <v>21</v>
      </c>
      <c r="E354" s="250">
        <v>0.3</v>
      </c>
      <c r="F354" s="176" t="s">
        <v>300</v>
      </c>
      <c r="G354" s="257">
        <v>19.142499999999998</v>
      </c>
      <c r="H354" s="176" t="s">
        <v>37</v>
      </c>
      <c r="I354" s="258">
        <f>IF(ISNUMBER(G354),E354*G354,"")</f>
        <v>5.7427499999999991</v>
      </c>
      <c r="J354" s="281"/>
      <c r="K354" s="19"/>
      <c r="L354" s="174">
        <v>22</v>
      </c>
    </row>
    <row r="355" spans="1:12" x14ac:dyDescent="0.25">
      <c r="A355" s="300"/>
      <c r="B355" s="292"/>
      <c r="C355" s="105" t="s">
        <v>238</v>
      </c>
      <c r="D355" s="105" t="s">
        <v>228</v>
      </c>
      <c r="E355" s="250">
        <v>0.01</v>
      </c>
      <c r="F355" s="176" t="s">
        <v>300</v>
      </c>
      <c r="G355" s="258">
        <v>93.8125</v>
      </c>
      <c r="H355" s="176" t="s">
        <v>240</v>
      </c>
      <c r="I355" s="258">
        <f>IF(ISNUMBER(G355),E355*G355,"")</f>
        <v>0.93812499999999999</v>
      </c>
      <c r="J355" s="281"/>
      <c r="K355" s="19"/>
      <c r="L355" s="174">
        <v>22</v>
      </c>
    </row>
    <row r="356" spans="1:12" x14ac:dyDescent="0.25">
      <c r="A356" s="300"/>
      <c r="B356" s="292"/>
      <c r="C356" s="105" t="s">
        <v>302</v>
      </c>
      <c r="D356" s="105" t="s">
        <v>228</v>
      </c>
      <c r="E356" s="250">
        <v>0.01</v>
      </c>
      <c r="F356" s="176" t="s">
        <v>300</v>
      </c>
      <c r="G356" s="258">
        <v>62.082499999999989</v>
      </c>
      <c r="H356" s="176" t="s">
        <v>303</v>
      </c>
      <c r="I356" s="258">
        <f>IF(ISNUMBER(G356),E356*G356,"")</f>
        <v>0.62082499999999985</v>
      </c>
      <c r="J356" s="281"/>
      <c r="K356" s="19"/>
      <c r="L356" s="174">
        <v>22</v>
      </c>
    </row>
    <row r="357" spans="1:12" x14ac:dyDescent="0.25">
      <c r="A357" s="300"/>
      <c r="B357" s="292"/>
      <c r="C357" s="105" t="s">
        <v>241</v>
      </c>
      <c r="D357" s="271" t="s">
        <v>75</v>
      </c>
      <c r="E357" s="250">
        <v>2.0099999999999998</v>
      </c>
      <c r="F357" s="176" t="s">
        <v>300</v>
      </c>
      <c r="G357" s="258">
        <v>0.38</v>
      </c>
      <c r="H357" s="176" t="s">
        <v>242</v>
      </c>
      <c r="I357" s="258">
        <f>IF(ISNUMBER(G357),E357*G357,"")</f>
        <v>0.76379999999999992</v>
      </c>
      <c r="J357" s="281"/>
      <c r="K357" s="19"/>
      <c r="L357" s="174">
        <v>22</v>
      </c>
    </row>
    <row r="358" spans="1:12" x14ac:dyDescent="0.25">
      <c r="A358" s="300"/>
      <c r="B358" s="292"/>
      <c r="C358" s="105" t="s">
        <v>304</v>
      </c>
      <c r="D358" s="271" t="s">
        <v>305</v>
      </c>
      <c r="E358" s="250">
        <v>2.5</v>
      </c>
      <c r="F358" s="176" t="s">
        <v>300</v>
      </c>
      <c r="G358" s="257">
        <v>2.4224999999999999</v>
      </c>
      <c r="H358" s="176" t="s">
        <v>306</v>
      </c>
      <c r="I358" s="258">
        <f>IF(ISNUMBER(G358),E358*G358,"")</f>
        <v>6.0562499999999995</v>
      </c>
      <c r="J358" s="281"/>
      <c r="K358" s="19"/>
      <c r="L358" s="174">
        <v>22</v>
      </c>
    </row>
    <row r="359" spans="1:12" x14ac:dyDescent="0.25">
      <c r="A359" s="300"/>
      <c r="B359" s="292"/>
      <c r="C359" s="105" t="s">
        <v>307</v>
      </c>
      <c r="D359" s="271" t="s">
        <v>75</v>
      </c>
      <c r="E359" s="250">
        <v>0.5</v>
      </c>
      <c r="F359" s="176" t="s">
        <v>300</v>
      </c>
      <c r="G359" s="258">
        <v>5.1964999999999995</v>
      </c>
      <c r="H359" s="176" t="s">
        <v>308</v>
      </c>
      <c r="I359" s="258">
        <f>IF(ISNUMBER(G359),E359*G359,"")</f>
        <v>2.5982499999999997</v>
      </c>
      <c r="J359" s="281"/>
      <c r="K359" s="19"/>
      <c r="L359" s="174">
        <v>22</v>
      </c>
    </row>
    <row r="360" spans="1:12" ht="38.25" x14ac:dyDescent="0.25">
      <c r="A360" s="300"/>
      <c r="B360" s="292"/>
      <c r="C360" s="105" t="s">
        <v>251</v>
      </c>
      <c r="D360" s="105" t="s">
        <v>252</v>
      </c>
      <c r="E360" s="250">
        <f>1*(E355+E356)</f>
        <v>0.02</v>
      </c>
      <c r="F360" s="176" t="s">
        <v>17</v>
      </c>
      <c r="G360" s="258">
        <v>0.72471700000000006</v>
      </c>
      <c r="H360" s="176" t="s">
        <v>253</v>
      </c>
      <c r="I360" s="258">
        <f>IF(ISNUMBER(G360),E360*G360,"")</f>
        <v>1.4494340000000001E-2</v>
      </c>
      <c r="J360" s="281"/>
      <c r="K360" s="19"/>
      <c r="L360" s="174">
        <v>22</v>
      </c>
    </row>
    <row r="361" spans="1:12" ht="38.25" x14ac:dyDescent="0.25">
      <c r="A361" s="300"/>
      <c r="B361" s="292"/>
      <c r="C361" s="105" t="s">
        <v>254</v>
      </c>
      <c r="D361" s="271" t="s">
        <v>255</v>
      </c>
      <c r="E361" s="250">
        <f>(E355+E356)*20</f>
        <v>0.4</v>
      </c>
      <c r="F361" s="176" t="s">
        <v>17</v>
      </c>
      <c r="G361" s="258">
        <v>1.0354733999999999</v>
      </c>
      <c r="H361" s="176" t="s">
        <v>256</v>
      </c>
      <c r="I361" s="258">
        <f>IF(ISNUMBER(G361),E361*G361,"")</f>
        <v>0.41418935999999995</v>
      </c>
      <c r="J361" s="281"/>
      <c r="K361" s="19"/>
      <c r="L361" s="174">
        <v>22</v>
      </c>
    </row>
    <row r="362" spans="1:12" x14ac:dyDescent="0.25">
      <c r="A362" s="300"/>
      <c r="B362" s="292"/>
      <c r="C362" s="303"/>
      <c r="D362" s="271"/>
      <c r="E362" s="250"/>
      <c r="F362" s="176"/>
      <c r="G362" s="258" t="s">
        <v>1079</v>
      </c>
      <c r="H362" s="176"/>
      <c r="I362" s="258" t="str">
        <f>IF(ISNUMBER(G362),E362*G362,"")</f>
        <v/>
      </c>
      <c r="J362" s="281"/>
      <c r="K362" s="19"/>
      <c r="L362" s="174">
        <v>22</v>
      </c>
    </row>
    <row r="363" spans="1:12" ht="25.5" x14ac:dyDescent="0.25">
      <c r="A363" s="300"/>
      <c r="B363" s="292"/>
      <c r="C363" s="2" t="s">
        <v>257</v>
      </c>
      <c r="D363" s="271"/>
      <c r="E363" s="250"/>
      <c r="F363" s="176"/>
      <c r="G363" s="258" t="s">
        <v>1079</v>
      </c>
      <c r="H363" s="176"/>
      <c r="I363" s="258" t="str">
        <f>IF(ISNUMBER(G363),E363*G363,"")</f>
        <v/>
      </c>
      <c r="J363" s="281"/>
      <c r="K363" s="19"/>
      <c r="L363" s="174">
        <v>22</v>
      </c>
    </row>
    <row r="364" spans="1:12" ht="15.75" thickBot="1" x14ac:dyDescent="0.3">
      <c r="A364" s="301"/>
      <c r="B364" s="297"/>
      <c r="C364" s="105"/>
      <c r="D364" s="105"/>
      <c r="E364" s="250"/>
      <c r="F364" s="176"/>
      <c r="G364" s="257" t="s">
        <v>1079</v>
      </c>
      <c r="H364" s="176"/>
      <c r="I364" s="257" t="str">
        <f>IF(ISNUMBER(G364),E364*G364,"")</f>
        <v/>
      </c>
      <c r="J364" s="281"/>
      <c r="K364" s="19"/>
      <c r="L364" s="174">
        <v>22</v>
      </c>
    </row>
    <row r="365" spans="1:12" ht="15.75" thickBot="1" x14ac:dyDescent="0.3">
      <c r="A365" s="288" t="s">
        <v>309</v>
      </c>
      <c r="B365" s="289" t="str">
        <f>INDEX(Orçamentária!A:B,MATCH(Composições!A365,Orçamentária!A:A,0),2)</f>
        <v>Impermeabilização de superfície com revestimento bicomponente semi flexível</v>
      </c>
      <c r="C365" s="274"/>
      <c r="D365" s="265" t="str">
        <f>TRIM(INDEX(Orçamentária!C:C,MATCH(Composições!A365,Orçamentária!A:A,0),1))</f>
        <v>m2</v>
      </c>
      <c r="E365" s="290"/>
      <c r="F365" s="259" t="s">
        <v>310</v>
      </c>
      <c r="G365" s="260" t="s">
        <v>1079</v>
      </c>
      <c r="H365" s="261"/>
      <c r="I365" s="261" t="str">
        <f>IF(ISNUMBER(G365),E365*G365,"")</f>
        <v/>
      </c>
      <c r="J365" s="280"/>
      <c r="K365" s="18"/>
      <c r="L365" s="174">
        <v>40.1</v>
      </c>
    </row>
    <row r="366" spans="1:12" x14ac:dyDescent="0.25">
      <c r="A366" s="291"/>
      <c r="B366" s="292"/>
      <c r="C366" s="155"/>
      <c r="D366" s="155"/>
      <c r="E366" s="293"/>
      <c r="F366" s="294"/>
      <c r="G366" s="262" t="s">
        <v>1079</v>
      </c>
      <c r="H366" s="155"/>
      <c r="I366" s="257" t="str">
        <f>IF(ISNUMBER(G366),E366*G366,"")</f>
        <v/>
      </c>
      <c r="J366" s="281"/>
      <c r="K366" s="19"/>
      <c r="L366" s="174">
        <v>40.1</v>
      </c>
    </row>
    <row r="367" spans="1:12" ht="25.5" x14ac:dyDescent="0.25">
      <c r="A367" s="291"/>
      <c r="B367" s="292"/>
      <c r="C367" s="105" t="s">
        <v>311</v>
      </c>
      <c r="D367" s="105" t="s">
        <v>75</v>
      </c>
      <c r="E367" s="250">
        <v>3.2</v>
      </c>
      <c r="F367" s="176" t="s">
        <v>310</v>
      </c>
      <c r="G367" s="258">
        <v>2.0710000000000002</v>
      </c>
      <c r="H367" s="176" t="s">
        <v>312</v>
      </c>
      <c r="I367" s="257">
        <f>IF(ISNUMBER(G367),E367*G367,"")</f>
        <v>6.6272000000000011</v>
      </c>
      <c r="J367" s="295">
        <f>SUM(I367:I369)</f>
        <v>18.634211999999998</v>
      </c>
      <c r="K367" s="29"/>
      <c r="L367" s="174">
        <v>40.1</v>
      </c>
    </row>
    <row r="368" spans="1:12" x14ac:dyDescent="0.25">
      <c r="A368" s="291"/>
      <c r="B368" s="292"/>
      <c r="C368" s="105" t="s">
        <v>92</v>
      </c>
      <c r="D368" s="3" t="s">
        <v>21</v>
      </c>
      <c r="E368" s="250">
        <v>0.108</v>
      </c>
      <c r="F368" s="176" t="s">
        <v>310</v>
      </c>
      <c r="G368" s="257">
        <v>16.881499999999999</v>
      </c>
      <c r="H368" s="176" t="s">
        <v>93</v>
      </c>
      <c r="I368" s="257">
        <f>IF(ISNUMBER(G368),E368*G368,"")</f>
        <v>1.8232019999999998</v>
      </c>
      <c r="J368" s="281"/>
      <c r="K368" s="19"/>
      <c r="L368" s="174">
        <v>40.1</v>
      </c>
    </row>
    <row r="369" spans="1:12" x14ac:dyDescent="0.25">
      <c r="A369" s="291"/>
      <c r="B369" s="292"/>
      <c r="C369" s="105" t="s">
        <v>313</v>
      </c>
      <c r="D369" s="3" t="s">
        <v>21</v>
      </c>
      <c r="E369" s="250">
        <v>0.53200000000000003</v>
      </c>
      <c r="F369" s="176" t="s">
        <v>310</v>
      </c>
      <c r="G369" s="257">
        <v>19.142499999999998</v>
      </c>
      <c r="H369" s="176" t="s">
        <v>314</v>
      </c>
      <c r="I369" s="257">
        <f>IF(ISNUMBER(G369),E369*G369,"")</f>
        <v>10.183809999999999</v>
      </c>
      <c r="J369" s="281"/>
      <c r="K369" s="19"/>
      <c r="L369" s="174">
        <v>40.1</v>
      </c>
    </row>
    <row r="370" spans="1:12" ht="15.75" thickBot="1" x14ac:dyDescent="0.3">
      <c r="A370" s="296"/>
      <c r="B370" s="297"/>
      <c r="C370" s="105"/>
      <c r="D370" s="105"/>
      <c r="E370" s="250"/>
      <c r="F370" s="176"/>
      <c r="G370" s="257" t="s">
        <v>1079</v>
      </c>
      <c r="H370" s="176"/>
      <c r="I370" s="257" t="str">
        <f>IF(ISNUMBER(G370),E370*G370,"")</f>
        <v/>
      </c>
      <c r="J370" s="281"/>
      <c r="K370" s="19"/>
      <c r="L370" s="174">
        <v>40.1</v>
      </c>
    </row>
    <row r="371" spans="1:12" ht="15.75" thickBot="1" x14ac:dyDescent="0.3">
      <c r="A371" s="288" t="s">
        <v>315</v>
      </c>
      <c r="B371" s="289" t="str">
        <f>INDEX(Orçamentária!A:B,MATCH(Composições!A371,Orçamentária!A:A,0),2)</f>
        <v>Alvenaria de vedação</v>
      </c>
      <c r="C371" s="274"/>
      <c r="D371" s="265" t="str">
        <f>TRIM(INDEX(Orçamentária!C:C,MATCH(Composições!A371,Orçamentária!A:A,0),1))</f>
        <v>m2</v>
      </c>
      <c r="E371" s="290"/>
      <c r="F371" s="259" t="s">
        <v>316</v>
      </c>
      <c r="G371" s="260" t="s">
        <v>1079</v>
      </c>
      <c r="H371" s="261"/>
      <c r="I371" s="261" t="str">
        <f>IF(ISNUMBER(G371),E371*G371,"")</f>
        <v/>
      </c>
      <c r="J371" s="280"/>
      <c r="K371" s="18"/>
      <c r="L371" s="174">
        <v>81.52</v>
      </c>
    </row>
    <row r="372" spans="1:12" x14ac:dyDescent="0.25">
      <c r="A372" s="291"/>
      <c r="B372" s="292"/>
      <c r="C372" s="155"/>
      <c r="D372" s="155"/>
      <c r="E372" s="293"/>
      <c r="F372" s="294"/>
      <c r="G372" s="262" t="s">
        <v>1079</v>
      </c>
      <c r="H372" s="155"/>
      <c r="I372" s="257" t="str">
        <f>IF(ISNUMBER(G372),E372*G372,"")</f>
        <v/>
      </c>
      <c r="J372" s="281"/>
      <c r="K372" s="19"/>
      <c r="L372" s="174">
        <v>81.52</v>
      </c>
    </row>
    <row r="373" spans="1:12" x14ac:dyDescent="0.25">
      <c r="A373" s="291"/>
      <c r="B373" s="292"/>
      <c r="C373" s="105" t="s">
        <v>317</v>
      </c>
      <c r="D373" s="271" t="s">
        <v>318</v>
      </c>
      <c r="E373" s="250">
        <v>2.7900000000000001E-2</v>
      </c>
      <c r="F373" s="176" t="s">
        <v>319</v>
      </c>
      <c r="G373" s="258">
        <v>470.25</v>
      </c>
      <c r="H373" s="176" t="s">
        <v>320</v>
      </c>
      <c r="I373" s="258">
        <f>IF(ISNUMBER(G373),E373*G373,"")</f>
        <v>13.119975</v>
      </c>
      <c r="J373" s="295">
        <f>SUM(I373:I378)</f>
        <v>53.937749790079998</v>
      </c>
      <c r="K373" s="29"/>
      <c r="L373" s="174">
        <v>81.52</v>
      </c>
    </row>
    <row r="374" spans="1:12" ht="25.5" x14ac:dyDescent="0.25">
      <c r="A374" s="291"/>
      <c r="B374" s="292"/>
      <c r="C374" s="105" t="s">
        <v>321</v>
      </c>
      <c r="D374" s="271" t="s">
        <v>184</v>
      </c>
      <c r="E374" s="250">
        <v>0.42</v>
      </c>
      <c r="F374" s="176" t="s">
        <v>319</v>
      </c>
      <c r="G374" s="258">
        <v>1.6909999999999998</v>
      </c>
      <c r="H374" s="176" t="s">
        <v>322</v>
      </c>
      <c r="I374" s="258">
        <f>IF(ISNUMBER(G374),E374*G374,"")</f>
        <v>0.71021999999999985</v>
      </c>
      <c r="J374" s="281"/>
      <c r="K374" s="19"/>
      <c r="L374" s="174">
        <v>81.52</v>
      </c>
    </row>
    <row r="375" spans="1:12" x14ac:dyDescent="0.25">
      <c r="A375" s="291"/>
      <c r="B375" s="292"/>
      <c r="C375" s="105" t="s">
        <v>323</v>
      </c>
      <c r="D375" s="271" t="s">
        <v>324</v>
      </c>
      <c r="E375" s="250">
        <v>5.0000000000000001E-3</v>
      </c>
      <c r="F375" s="176" t="s">
        <v>319</v>
      </c>
      <c r="G375" s="258">
        <v>31.587499999999999</v>
      </c>
      <c r="H375" s="176" t="s">
        <v>325</v>
      </c>
      <c r="I375" s="258">
        <f>IF(ISNUMBER(G375),E375*G375,"")</f>
        <v>0.15793750000000001</v>
      </c>
      <c r="J375" s="281"/>
      <c r="K375" s="19"/>
      <c r="L375" s="174">
        <v>81.52</v>
      </c>
    </row>
    <row r="376" spans="1:12" ht="51" x14ac:dyDescent="0.25">
      <c r="A376" s="291"/>
      <c r="B376" s="292"/>
      <c r="C376" s="105" t="s">
        <v>326</v>
      </c>
      <c r="D376" s="271" t="s">
        <v>228</v>
      </c>
      <c r="E376" s="250">
        <v>9.7999999999999997E-3</v>
      </c>
      <c r="F376" s="176" t="s">
        <v>319</v>
      </c>
      <c r="G376" s="258">
        <v>399.09002959999992</v>
      </c>
      <c r="H376" s="176" t="s">
        <v>327</v>
      </c>
      <c r="I376" s="258">
        <f>IF(ISNUMBER(G376),E376*G376,"")</f>
        <v>3.9110822900799991</v>
      </c>
      <c r="J376" s="281"/>
      <c r="K376" s="19"/>
      <c r="L376" s="174">
        <v>81.52</v>
      </c>
    </row>
    <row r="377" spans="1:12" x14ac:dyDescent="0.25">
      <c r="A377" s="291"/>
      <c r="B377" s="292"/>
      <c r="C377" s="105" t="s">
        <v>36</v>
      </c>
      <c r="D377" s="271" t="s">
        <v>21</v>
      </c>
      <c r="E377" s="250">
        <v>1.37</v>
      </c>
      <c r="F377" s="176" t="s">
        <v>319</v>
      </c>
      <c r="G377" s="257">
        <v>19.142499999999998</v>
      </c>
      <c r="H377" s="176" t="s">
        <v>37</v>
      </c>
      <c r="I377" s="257">
        <f>IF(ISNUMBER(G377),E377*G377,"")</f>
        <v>26.225224999999998</v>
      </c>
      <c r="J377" s="281"/>
      <c r="K377" s="19"/>
      <c r="L377" s="174">
        <v>81.52</v>
      </c>
    </row>
    <row r="378" spans="1:12" x14ac:dyDescent="0.25">
      <c r="A378" s="291"/>
      <c r="B378" s="292"/>
      <c r="C378" s="105" t="s">
        <v>38</v>
      </c>
      <c r="D378" s="271" t="s">
        <v>21</v>
      </c>
      <c r="E378" s="250">
        <v>0.68500000000000005</v>
      </c>
      <c r="F378" s="176" t="s">
        <v>319</v>
      </c>
      <c r="G378" s="257">
        <v>14.325999999999999</v>
      </c>
      <c r="H378" s="176" t="s">
        <v>39</v>
      </c>
      <c r="I378" s="257">
        <f>IF(ISNUMBER(G378),E378*G378,"")</f>
        <v>9.8133099999999995</v>
      </c>
      <c r="J378" s="281"/>
      <c r="K378" s="19"/>
      <c r="L378" s="174">
        <v>81.52</v>
      </c>
    </row>
    <row r="379" spans="1:12" ht="15.75" thickBot="1" x14ac:dyDescent="0.3">
      <c r="A379" s="296"/>
      <c r="B379" s="297"/>
      <c r="C379" s="105"/>
      <c r="D379" s="105"/>
      <c r="E379" s="250"/>
      <c r="F379" s="176"/>
      <c r="G379" s="257" t="s">
        <v>1079</v>
      </c>
      <c r="H379" s="176"/>
      <c r="I379" s="257" t="str">
        <f>IF(ISNUMBER(G379),E379*G379,"")</f>
        <v/>
      </c>
      <c r="J379" s="281"/>
      <c r="K379" s="19"/>
      <c r="L379" s="174">
        <v>81.52</v>
      </c>
    </row>
    <row r="380" spans="1:12" ht="15.75" hidden="1" thickBot="1" x14ac:dyDescent="0.3">
      <c r="A380" s="180" t="s">
        <v>328</v>
      </c>
      <c r="B380" s="178" t="str">
        <f>INDEX(Orçamentária!A:B,MATCH(Composições!A380,Orçamentária!A:A,0),2)</f>
        <v>Fechamento ou shaft em gesso acartonado tipo drywall</v>
      </c>
      <c r="C380" s="30"/>
      <c r="D380" s="13" t="str">
        <f>TRIM(INDEX(Orçamentária!C:C,MATCH(Composições!A380,Orçamentária!A:A,0),1))</f>
        <v>m2</v>
      </c>
      <c r="E380" s="14"/>
      <c r="F380" s="15" t="s">
        <v>329</v>
      </c>
      <c r="G380" s="31" t="s">
        <v>1079</v>
      </c>
      <c r="H380" s="16"/>
      <c r="I380" s="16" t="str">
        <f>IF(ISNUMBER(G380),E380*G380,"")</f>
        <v/>
      </c>
      <c r="J380" s="17"/>
      <c r="K380" s="18"/>
      <c r="L380" s="174">
        <v>0</v>
      </c>
    </row>
    <row r="381" spans="1:12" ht="15.75" hidden="1" thickBot="1" x14ac:dyDescent="0.3">
      <c r="A381" s="181"/>
      <c r="B381" s="179"/>
      <c r="C381" s="20"/>
      <c r="D381" s="20"/>
      <c r="E381" s="21"/>
      <c r="F381" s="22"/>
      <c r="G381" s="32" t="s">
        <v>1079</v>
      </c>
      <c r="H381" s="20"/>
      <c r="I381" s="19" t="str">
        <f>IF(ISNUMBER(G381),E381*G381,"")</f>
        <v/>
      </c>
      <c r="J381" s="24"/>
      <c r="K381" s="19"/>
      <c r="L381" s="174">
        <v>0</v>
      </c>
    </row>
    <row r="382" spans="1:12" ht="26.25" hidden="1" thickBot="1" x14ac:dyDescent="0.3">
      <c r="A382" s="181"/>
      <c r="B382" s="179"/>
      <c r="C382" s="25" t="s">
        <v>330</v>
      </c>
      <c r="D382" s="25" t="s">
        <v>324</v>
      </c>
      <c r="E382" s="26">
        <v>2.4299999999999999E-2</v>
      </c>
      <c r="F382" s="27" t="s">
        <v>329</v>
      </c>
      <c r="G382" s="23">
        <v>36.736499999999999</v>
      </c>
      <c r="H382" s="27" t="s">
        <v>331</v>
      </c>
      <c r="I382" s="23">
        <f>IF(ISNUMBER(G382),E382*G382,"")</f>
        <v>0.89269694999999993</v>
      </c>
      <c r="J382" s="28">
        <f>SUM(I382:I392)</f>
        <v>47.127783350000001</v>
      </c>
      <c r="K382" s="29"/>
      <c r="L382" s="174">
        <v>0</v>
      </c>
    </row>
    <row r="383" spans="1:12" ht="26.25" hidden="1" thickBot="1" x14ac:dyDescent="0.3">
      <c r="A383" s="181"/>
      <c r="B383" s="179"/>
      <c r="C383" s="25" t="s">
        <v>332</v>
      </c>
      <c r="D383" s="25" t="s">
        <v>189</v>
      </c>
      <c r="E383" s="26">
        <v>1.0529999999999999</v>
      </c>
      <c r="F383" s="27" t="s">
        <v>329</v>
      </c>
      <c r="G383" s="23">
        <v>20.177999999999997</v>
      </c>
      <c r="H383" s="27" t="s">
        <v>333</v>
      </c>
      <c r="I383" s="23">
        <f>IF(ISNUMBER(G383),E383*G383,"")</f>
        <v>21.247433999999995</v>
      </c>
      <c r="J383" s="34"/>
      <c r="K383" s="35"/>
      <c r="L383" s="174">
        <v>0</v>
      </c>
    </row>
    <row r="384" spans="1:12" ht="26.25" hidden="1" thickBot="1" x14ac:dyDescent="0.3">
      <c r="A384" s="181"/>
      <c r="B384" s="179"/>
      <c r="C384" s="25" t="s">
        <v>334</v>
      </c>
      <c r="D384" s="25" t="s">
        <v>184</v>
      </c>
      <c r="E384" s="26">
        <v>0.76039999999999996</v>
      </c>
      <c r="F384" s="27" t="s">
        <v>329</v>
      </c>
      <c r="G384" s="23">
        <v>4.2560000000000002</v>
      </c>
      <c r="H384" s="27" t="s">
        <v>335</v>
      </c>
      <c r="I384" s="23">
        <f>IF(ISNUMBER(G384),E384*G384,"")</f>
        <v>3.2362624000000002</v>
      </c>
      <c r="J384" s="34"/>
      <c r="K384" s="35"/>
      <c r="L384" s="174">
        <v>0</v>
      </c>
    </row>
    <row r="385" spans="1:12" ht="26.25" hidden="1" thickBot="1" x14ac:dyDescent="0.3">
      <c r="A385" s="181"/>
      <c r="B385" s="179"/>
      <c r="C385" s="25" t="s">
        <v>336</v>
      </c>
      <c r="D385" s="25" t="s">
        <v>184</v>
      </c>
      <c r="E385" s="26">
        <v>1.9910000000000001</v>
      </c>
      <c r="F385" s="27" t="s">
        <v>329</v>
      </c>
      <c r="G385" s="23">
        <v>4.8354999999999997</v>
      </c>
      <c r="H385" s="27" t="s">
        <v>337</v>
      </c>
      <c r="I385" s="23">
        <f>IF(ISNUMBER(G385),E385*G385,"")</f>
        <v>9.627480499999999</v>
      </c>
      <c r="J385" s="34"/>
      <c r="K385" s="35"/>
      <c r="L385" s="174">
        <v>0</v>
      </c>
    </row>
    <row r="386" spans="1:12" ht="26.25" hidden="1" thickBot="1" x14ac:dyDescent="0.3">
      <c r="A386" s="181"/>
      <c r="B386" s="179"/>
      <c r="C386" s="25" t="s">
        <v>338</v>
      </c>
      <c r="D386" s="25" t="s">
        <v>184</v>
      </c>
      <c r="E386" s="26">
        <v>1.2513000000000001</v>
      </c>
      <c r="F386" s="27" t="s">
        <v>329</v>
      </c>
      <c r="G386" s="23">
        <v>0.22799999999999998</v>
      </c>
      <c r="H386" s="27" t="s">
        <v>339</v>
      </c>
      <c r="I386" s="23">
        <f>IF(ISNUMBER(G386),E386*G386,"")</f>
        <v>0.28529640000000001</v>
      </c>
      <c r="J386" s="34"/>
      <c r="K386" s="35"/>
      <c r="L386" s="174">
        <v>0</v>
      </c>
    </row>
    <row r="387" spans="1:12" ht="26.25" hidden="1" thickBot="1" x14ac:dyDescent="0.3">
      <c r="A387" s="181"/>
      <c r="B387" s="179"/>
      <c r="C387" s="25" t="s">
        <v>340</v>
      </c>
      <c r="D387" s="25" t="s">
        <v>184</v>
      </c>
      <c r="E387" s="26">
        <v>0.74070000000000003</v>
      </c>
      <c r="F387" s="27" t="s">
        <v>329</v>
      </c>
      <c r="G387" s="23">
        <v>2.9830000000000001</v>
      </c>
      <c r="H387" s="27" t="s">
        <v>341</v>
      </c>
      <c r="I387" s="23">
        <f>IF(ISNUMBER(G387),E387*G387,"")</f>
        <v>2.2095081000000003</v>
      </c>
      <c r="J387" s="34"/>
      <c r="K387" s="35"/>
      <c r="L387" s="174">
        <v>0</v>
      </c>
    </row>
    <row r="388" spans="1:12" ht="26.25" hidden="1" thickBot="1" x14ac:dyDescent="0.3">
      <c r="A388" s="181"/>
      <c r="B388" s="179"/>
      <c r="C388" s="25" t="s">
        <v>342</v>
      </c>
      <c r="D388" s="25" t="s">
        <v>75</v>
      </c>
      <c r="E388" s="26">
        <v>0.51639999999999997</v>
      </c>
      <c r="F388" s="27" t="s">
        <v>329</v>
      </c>
      <c r="G388" s="23">
        <v>4.0089999999999995</v>
      </c>
      <c r="H388" s="27" t="s">
        <v>343</v>
      </c>
      <c r="I388" s="23">
        <f>IF(ISNUMBER(G388),E388*G388,"")</f>
        <v>2.0702475999999996</v>
      </c>
      <c r="J388" s="34"/>
      <c r="K388" s="35"/>
      <c r="L388" s="174">
        <v>0</v>
      </c>
    </row>
    <row r="389" spans="1:12" ht="26.25" hidden="1" thickBot="1" x14ac:dyDescent="0.3">
      <c r="A389" s="181"/>
      <c r="B389" s="179"/>
      <c r="C389" s="25" t="s">
        <v>344</v>
      </c>
      <c r="D389" s="25" t="s">
        <v>32</v>
      </c>
      <c r="E389" s="26">
        <v>10.0039</v>
      </c>
      <c r="F389" s="27" t="s">
        <v>329</v>
      </c>
      <c r="G389" s="23">
        <v>7.5999999999999998E-2</v>
      </c>
      <c r="H389" s="27" t="s">
        <v>345</v>
      </c>
      <c r="I389" s="23">
        <f>IF(ISNUMBER(G389),E389*G389,"")</f>
        <v>0.76029639999999998</v>
      </c>
      <c r="J389" s="34"/>
      <c r="K389" s="35"/>
      <c r="L389" s="174">
        <v>0</v>
      </c>
    </row>
    <row r="390" spans="1:12" ht="26.25" hidden="1" thickBot="1" x14ac:dyDescent="0.3">
      <c r="A390" s="181"/>
      <c r="B390" s="179"/>
      <c r="C390" s="25" t="s">
        <v>346</v>
      </c>
      <c r="D390" s="25" t="s">
        <v>32</v>
      </c>
      <c r="E390" s="26">
        <v>0.80759999999999998</v>
      </c>
      <c r="F390" s="27" t="s">
        <v>329</v>
      </c>
      <c r="G390" s="23">
        <v>0.18049999999999999</v>
      </c>
      <c r="H390" s="27" t="s">
        <v>347</v>
      </c>
      <c r="I390" s="23">
        <f>IF(ISNUMBER(G390),E390*G390,"")</f>
        <v>0.14577179999999998</v>
      </c>
      <c r="J390" s="34"/>
      <c r="K390" s="35"/>
      <c r="L390" s="174">
        <v>0</v>
      </c>
    </row>
    <row r="391" spans="1:12" ht="15.75" hidden="1" thickBot="1" x14ac:dyDescent="0.3">
      <c r="A391" s="181"/>
      <c r="B391" s="179"/>
      <c r="C391" s="25" t="s">
        <v>48</v>
      </c>
      <c r="D391" s="25" t="s">
        <v>21</v>
      </c>
      <c r="E391" s="26">
        <v>0.36359999999999998</v>
      </c>
      <c r="F391" s="27" t="s">
        <v>329</v>
      </c>
      <c r="G391" s="19">
        <v>14.715499999999999</v>
      </c>
      <c r="H391" s="27" t="s">
        <v>49</v>
      </c>
      <c r="I391" s="23">
        <f>IF(ISNUMBER(G391),E391*G391,"")</f>
        <v>5.3505557999999995</v>
      </c>
      <c r="J391" s="34"/>
      <c r="K391" s="35"/>
      <c r="L391" s="174">
        <v>0</v>
      </c>
    </row>
    <row r="392" spans="1:12" ht="15.75" hidden="1" thickBot="1" x14ac:dyDescent="0.3">
      <c r="A392" s="181"/>
      <c r="B392" s="179"/>
      <c r="C392" s="25" t="s">
        <v>38</v>
      </c>
      <c r="D392" s="25" t="s">
        <v>21</v>
      </c>
      <c r="E392" s="26">
        <v>9.0899999999999995E-2</v>
      </c>
      <c r="F392" s="27" t="s">
        <v>329</v>
      </c>
      <c r="G392" s="19">
        <v>14.325999999999999</v>
      </c>
      <c r="H392" s="27" t="s">
        <v>39</v>
      </c>
      <c r="I392" s="23">
        <f>IF(ISNUMBER(G392),E392*G392,"")</f>
        <v>1.3022333999999998</v>
      </c>
      <c r="J392" s="34"/>
      <c r="K392" s="35"/>
      <c r="L392" s="174">
        <v>0</v>
      </c>
    </row>
    <row r="393" spans="1:12" ht="15.75" hidden="1" thickBot="1" x14ac:dyDescent="0.3">
      <c r="A393" s="182"/>
      <c r="B393" s="183"/>
      <c r="C393" s="25"/>
      <c r="D393" s="25"/>
      <c r="E393" s="26"/>
      <c r="F393" s="27"/>
      <c r="G393" s="19" t="s">
        <v>1079</v>
      </c>
      <c r="H393" s="27"/>
      <c r="I393" s="19" t="str">
        <f>IF(ISNUMBER(G393),E393*G393,"")</f>
        <v/>
      </c>
      <c r="J393" s="24"/>
      <c r="K393" s="19"/>
      <c r="L393" s="174">
        <v>0</v>
      </c>
    </row>
    <row r="394" spans="1:12" ht="15.75" thickBot="1" x14ac:dyDescent="0.3">
      <c r="A394" s="288" t="s">
        <v>348</v>
      </c>
      <c r="B394" s="289" t="str">
        <f>INDEX(Orçamentária!A:B,MATCH(Composições!A394,Orçamentária!A:A,0),2)</f>
        <v>Fixação (encunhamento) de Alvenaria de Vedação</v>
      </c>
      <c r="C394" s="274"/>
      <c r="D394" s="265" t="str">
        <f>TRIM(INDEX(Orçamentária!C:C,MATCH(Composições!A394,Orçamentária!A:A,0),1))</f>
        <v>m</v>
      </c>
      <c r="E394" s="290"/>
      <c r="F394" s="259" t="s">
        <v>349</v>
      </c>
      <c r="G394" s="260" t="s">
        <v>1079</v>
      </c>
      <c r="H394" s="261"/>
      <c r="I394" s="261" t="str">
        <f>IF(ISNUMBER(G394),E394*G394,"")</f>
        <v/>
      </c>
      <c r="J394" s="280"/>
      <c r="K394" s="18"/>
      <c r="L394" s="174">
        <v>26.85</v>
      </c>
    </row>
    <row r="395" spans="1:12" x14ac:dyDescent="0.25">
      <c r="A395" s="291"/>
      <c r="B395" s="292"/>
      <c r="C395" s="155"/>
      <c r="D395" s="155"/>
      <c r="E395" s="293"/>
      <c r="F395" s="294"/>
      <c r="G395" s="262" t="s">
        <v>1079</v>
      </c>
      <c r="H395" s="155"/>
      <c r="I395" s="257" t="str">
        <f>IF(ISNUMBER(G395),E395*G395,"")</f>
        <v/>
      </c>
      <c r="J395" s="281"/>
      <c r="K395" s="19"/>
      <c r="L395" s="174">
        <v>26.85</v>
      </c>
    </row>
    <row r="396" spans="1:12" x14ac:dyDescent="0.25">
      <c r="A396" s="291"/>
      <c r="B396" s="292"/>
      <c r="C396" s="105" t="s">
        <v>350</v>
      </c>
      <c r="D396" s="271" t="s">
        <v>32</v>
      </c>
      <c r="E396" s="250">
        <v>11.2</v>
      </c>
      <c r="F396" s="294" t="s">
        <v>351</v>
      </c>
      <c r="G396" s="258">
        <v>0.29449999999999998</v>
      </c>
      <c r="H396" s="256" t="s">
        <v>352</v>
      </c>
      <c r="I396" s="257">
        <f>IF(ISNUMBER(G396),E396*G396,"")</f>
        <v>3.2983999999999996</v>
      </c>
      <c r="J396" s="295">
        <f>SUM(I396:I399)</f>
        <v>16.94599332716</v>
      </c>
      <c r="K396" s="29"/>
      <c r="L396" s="174">
        <v>26.85</v>
      </c>
    </row>
    <row r="397" spans="1:12" ht="51" x14ac:dyDescent="0.25">
      <c r="A397" s="291"/>
      <c r="B397" s="292"/>
      <c r="C397" s="105" t="s">
        <v>353</v>
      </c>
      <c r="D397" s="271" t="s">
        <v>228</v>
      </c>
      <c r="E397" s="250">
        <v>5.1999999999999998E-3</v>
      </c>
      <c r="F397" s="294" t="s">
        <v>351</v>
      </c>
      <c r="G397" s="258">
        <v>385.1259283</v>
      </c>
      <c r="H397" s="256" t="s">
        <v>354</v>
      </c>
      <c r="I397" s="257">
        <f>IF(ISNUMBER(G397),E397*G397,"")</f>
        <v>2.0026548271599998</v>
      </c>
      <c r="J397" s="282"/>
      <c r="K397" s="35"/>
      <c r="L397" s="174">
        <v>26.85</v>
      </c>
    </row>
    <row r="398" spans="1:12" x14ac:dyDescent="0.25">
      <c r="A398" s="291"/>
      <c r="B398" s="292"/>
      <c r="C398" s="105" t="s">
        <v>36</v>
      </c>
      <c r="D398" s="271" t="s">
        <v>21</v>
      </c>
      <c r="E398" s="250">
        <v>0.52900000000000003</v>
      </c>
      <c r="F398" s="294" t="s">
        <v>351</v>
      </c>
      <c r="G398" s="257">
        <v>19.142499999999998</v>
      </c>
      <c r="H398" s="256" t="s">
        <v>37</v>
      </c>
      <c r="I398" s="257">
        <f>IF(ISNUMBER(G398),E398*G398,"")</f>
        <v>10.1263825</v>
      </c>
      <c r="J398" s="282"/>
      <c r="K398" s="35"/>
      <c r="L398" s="174">
        <v>26.85</v>
      </c>
    </row>
    <row r="399" spans="1:12" x14ac:dyDescent="0.25">
      <c r="A399" s="291"/>
      <c r="B399" s="292"/>
      <c r="C399" s="105" t="s">
        <v>38</v>
      </c>
      <c r="D399" s="271" t="s">
        <v>21</v>
      </c>
      <c r="E399" s="250">
        <v>0.106</v>
      </c>
      <c r="F399" s="294" t="s">
        <v>351</v>
      </c>
      <c r="G399" s="257">
        <v>14.325999999999999</v>
      </c>
      <c r="H399" s="256" t="s">
        <v>39</v>
      </c>
      <c r="I399" s="257">
        <f>IF(ISNUMBER(G399),E399*G399,"")</f>
        <v>1.5185559999999998</v>
      </c>
      <c r="J399" s="282"/>
      <c r="K399" s="35"/>
      <c r="L399" s="174">
        <v>26.85</v>
      </c>
    </row>
    <row r="400" spans="1:12" ht="15.75" thickBot="1" x14ac:dyDescent="0.3">
      <c r="A400" s="291"/>
      <c r="B400" s="292"/>
      <c r="C400" s="105"/>
      <c r="D400" s="271"/>
      <c r="E400" s="250"/>
      <c r="F400" s="176"/>
      <c r="G400" s="258" t="s">
        <v>1079</v>
      </c>
      <c r="H400" s="176"/>
      <c r="I400" s="258" t="str">
        <f>IF(ISNUMBER(G400),E400*G400,"")</f>
        <v/>
      </c>
      <c r="J400" s="282"/>
      <c r="K400" s="35"/>
      <c r="L400" s="174">
        <v>26.85</v>
      </c>
    </row>
    <row r="401" spans="1:12" ht="15.75" hidden="1" thickBot="1" x14ac:dyDescent="0.3">
      <c r="A401" s="180" t="s">
        <v>355</v>
      </c>
      <c r="B401" s="178" t="str">
        <f>INDEX(Orçamentária!A:B,MATCH(Composições!A401,Orçamentária!A:A,0),2)</f>
        <v>Parede em gesso acartonado (drywall)</v>
      </c>
      <c r="C401" s="30"/>
      <c r="D401" s="13" t="str">
        <f>TRIM(INDEX(Orçamentária!C:C,MATCH(Composições!A401,Orçamentária!A:A,0),1))</f>
        <v>m2</v>
      </c>
      <c r="E401" s="14"/>
      <c r="F401" s="15" t="s">
        <v>356</v>
      </c>
      <c r="G401" s="31" t="s">
        <v>1079</v>
      </c>
      <c r="H401" s="16"/>
      <c r="I401" s="16" t="str">
        <f>IF(ISNUMBER(G401),E401*G401,"")</f>
        <v/>
      </c>
      <c r="J401" s="17"/>
      <c r="K401" s="18"/>
      <c r="L401" s="174">
        <v>0</v>
      </c>
    </row>
    <row r="402" spans="1:12" ht="15.75" hidden="1" thickBot="1" x14ac:dyDescent="0.3">
      <c r="A402" s="181"/>
      <c r="B402" s="179"/>
      <c r="C402" s="20"/>
      <c r="D402" s="20"/>
      <c r="E402" s="21"/>
      <c r="F402" s="22"/>
      <c r="G402" s="32" t="s">
        <v>1079</v>
      </c>
      <c r="H402" s="20"/>
      <c r="I402" s="19" t="str">
        <f>IF(ISNUMBER(G402),E402*G402,"")</f>
        <v/>
      </c>
      <c r="J402" s="24"/>
      <c r="K402" s="19"/>
      <c r="L402" s="174">
        <v>0</v>
      </c>
    </row>
    <row r="403" spans="1:12" ht="26.25" hidden="1" thickBot="1" x14ac:dyDescent="0.3">
      <c r="A403" s="181"/>
      <c r="B403" s="179"/>
      <c r="C403" s="25" t="s">
        <v>357</v>
      </c>
      <c r="D403" s="36" t="s">
        <v>324</v>
      </c>
      <c r="E403" s="26">
        <v>2.4299999999999999E-2</v>
      </c>
      <c r="F403" s="22" t="s">
        <v>356</v>
      </c>
      <c r="G403" s="23">
        <v>36.736499999999999</v>
      </c>
      <c r="H403" s="43" t="s">
        <v>331</v>
      </c>
      <c r="I403" s="19">
        <f>IF(ISNUMBER(G403),E403*G403,"")</f>
        <v>0.89269694999999993</v>
      </c>
      <c r="J403" s="28">
        <f>SUM(I403:I413)</f>
        <v>74.807559999999995</v>
      </c>
      <c r="K403" s="29"/>
      <c r="L403" s="174">
        <v>0</v>
      </c>
    </row>
    <row r="404" spans="1:12" ht="26.25" hidden="1" thickBot="1" x14ac:dyDescent="0.3">
      <c r="A404" s="181"/>
      <c r="B404" s="179"/>
      <c r="C404" s="25" t="s">
        <v>358</v>
      </c>
      <c r="D404" s="36" t="s">
        <v>189</v>
      </c>
      <c r="E404" s="26">
        <v>2.1059999999999999</v>
      </c>
      <c r="F404" s="22" t="s">
        <v>356</v>
      </c>
      <c r="G404" s="23">
        <v>20.177999999999997</v>
      </c>
      <c r="H404" s="43" t="s">
        <v>333</v>
      </c>
      <c r="I404" s="19">
        <f>IF(ISNUMBER(G404),E404*G404,"")</f>
        <v>42.49486799999999</v>
      </c>
      <c r="J404" s="24"/>
      <c r="K404" s="19"/>
      <c r="L404" s="174">
        <v>0</v>
      </c>
    </row>
    <row r="405" spans="1:12" ht="26.25" hidden="1" thickBot="1" x14ac:dyDescent="0.3">
      <c r="A405" s="181"/>
      <c r="B405" s="179"/>
      <c r="C405" s="25" t="s">
        <v>359</v>
      </c>
      <c r="D405" s="36" t="s">
        <v>184</v>
      </c>
      <c r="E405" s="26">
        <v>0.76039999999999996</v>
      </c>
      <c r="F405" s="22" t="s">
        <v>356</v>
      </c>
      <c r="G405" s="23">
        <v>4.2560000000000002</v>
      </c>
      <c r="H405" s="43" t="s">
        <v>335</v>
      </c>
      <c r="I405" s="19">
        <f>IF(ISNUMBER(G405),E405*G405,"")</f>
        <v>3.2362624000000002</v>
      </c>
      <c r="J405" s="24"/>
      <c r="K405" s="19"/>
      <c r="L405" s="174">
        <v>0</v>
      </c>
    </row>
    <row r="406" spans="1:12" ht="26.25" hidden="1" thickBot="1" x14ac:dyDescent="0.3">
      <c r="A406" s="181"/>
      <c r="B406" s="179"/>
      <c r="C406" s="25" t="s">
        <v>360</v>
      </c>
      <c r="D406" s="36" t="s">
        <v>184</v>
      </c>
      <c r="E406" s="26">
        <v>1.9910000000000001</v>
      </c>
      <c r="F406" s="22" t="s">
        <v>356</v>
      </c>
      <c r="G406" s="23">
        <v>4.8354999999999997</v>
      </c>
      <c r="H406" s="43" t="s">
        <v>337</v>
      </c>
      <c r="I406" s="19">
        <f>IF(ISNUMBER(G406),E406*G406,"")</f>
        <v>9.627480499999999</v>
      </c>
      <c r="J406" s="24"/>
      <c r="K406" s="19"/>
      <c r="L406" s="174">
        <v>0</v>
      </c>
    </row>
    <row r="407" spans="1:12" ht="26.25" hidden="1" thickBot="1" x14ac:dyDescent="0.3">
      <c r="A407" s="181"/>
      <c r="B407" s="179"/>
      <c r="C407" s="25" t="s">
        <v>361</v>
      </c>
      <c r="D407" s="36" t="s">
        <v>184</v>
      </c>
      <c r="E407" s="26">
        <v>2.5026999999999999</v>
      </c>
      <c r="F407" s="22" t="s">
        <v>356</v>
      </c>
      <c r="G407" s="23">
        <v>0.22799999999999998</v>
      </c>
      <c r="H407" s="43" t="s">
        <v>339</v>
      </c>
      <c r="I407" s="19">
        <f>IF(ISNUMBER(G407),E407*G407,"")</f>
        <v>0.57061559999999989</v>
      </c>
      <c r="J407" s="24"/>
      <c r="K407" s="19"/>
      <c r="L407" s="174">
        <v>0</v>
      </c>
    </row>
    <row r="408" spans="1:12" ht="26.25" hidden="1" thickBot="1" x14ac:dyDescent="0.3">
      <c r="A408" s="181"/>
      <c r="B408" s="179"/>
      <c r="C408" s="25" t="s">
        <v>362</v>
      </c>
      <c r="D408" s="36" t="s">
        <v>184</v>
      </c>
      <c r="E408" s="26">
        <v>0.74070000000000003</v>
      </c>
      <c r="F408" s="22" t="s">
        <v>356</v>
      </c>
      <c r="G408" s="23">
        <v>2.9830000000000001</v>
      </c>
      <c r="H408" s="43" t="s">
        <v>341</v>
      </c>
      <c r="I408" s="19">
        <f>IF(ISNUMBER(G408),E408*G408,"")</f>
        <v>2.2095081000000003</v>
      </c>
      <c r="J408" s="24"/>
      <c r="K408" s="19"/>
      <c r="L408" s="174">
        <v>0</v>
      </c>
    </row>
    <row r="409" spans="1:12" ht="39" hidden="1" thickBot="1" x14ac:dyDescent="0.3">
      <c r="A409" s="181"/>
      <c r="B409" s="179"/>
      <c r="C409" s="25" t="s">
        <v>363</v>
      </c>
      <c r="D409" s="36" t="s">
        <v>75</v>
      </c>
      <c r="E409" s="26">
        <v>1.0327</v>
      </c>
      <c r="F409" s="22" t="s">
        <v>356</v>
      </c>
      <c r="G409" s="23">
        <v>4.0089999999999995</v>
      </c>
      <c r="H409" s="43" t="s">
        <v>343</v>
      </c>
      <c r="I409" s="19">
        <f>IF(ISNUMBER(G409),E409*G409,"")</f>
        <v>4.1400942999999994</v>
      </c>
      <c r="J409" s="24"/>
      <c r="K409" s="19"/>
      <c r="L409" s="174">
        <v>0</v>
      </c>
    </row>
    <row r="410" spans="1:12" ht="26.25" hidden="1" thickBot="1" x14ac:dyDescent="0.3">
      <c r="A410" s="181"/>
      <c r="B410" s="179"/>
      <c r="C410" s="25" t="s">
        <v>364</v>
      </c>
      <c r="D410" s="36" t="s">
        <v>32</v>
      </c>
      <c r="E410" s="26">
        <v>20.0077</v>
      </c>
      <c r="F410" s="22" t="s">
        <v>356</v>
      </c>
      <c r="G410" s="23">
        <v>7.5999999999999998E-2</v>
      </c>
      <c r="H410" s="43" t="s">
        <v>345</v>
      </c>
      <c r="I410" s="19">
        <f>IF(ISNUMBER(G410),E410*G410,"")</f>
        <v>1.5205852</v>
      </c>
      <c r="J410" s="24"/>
      <c r="K410" s="19"/>
      <c r="L410" s="174">
        <v>0</v>
      </c>
    </row>
    <row r="411" spans="1:12" ht="26.25" hidden="1" thickBot="1" x14ac:dyDescent="0.3">
      <c r="A411" s="181"/>
      <c r="B411" s="179"/>
      <c r="C411" s="25" t="s">
        <v>365</v>
      </c>
      <c r="D411" s="36" t="s">
        <v>32</v>
      </c>
      <c r="E411" s="26">
        <v>0.80759999999999998</v>
      </c>
      <c r="F411" s="22" t="s">
        <v>356</v>
      </c>
      <c r="G411" s="23">
        <v>0.18049999999999999</v>
      </c>
      <c r="H411" s="43" t="s">
        <v>347</v>
      </c>
      <c r="I411" s="19">
        <f>IF(ISNUMBER(G411),E411*G411,"")</f>
        <v>0.14577179999999998</v>
      </c>
      <c r="J411" s="24"/>
      <c r="K411" s="19"/>
      <c r="L411" s="174">
        <v>0</v>
      </c>
    </row>
    <row r="412" spans="1:12" ht="15.75" hidden="1" thickBot="1" x14ac:dyDescent="0.3">
      <c r="A412" s="181"/>
      <c r="B412" s="179"/>
      <c r="C412" s="25" t="s">
        <v>48</v>
      </c>
      <c r="D412" s="36" t="s">
        <v>21</v>
      </c>
      <c r="E412" s="26">
        <v>0.54490000000000005</v>
      </c>
      <c r="F412" s="22" t="s">
        <v>356</v>
      </c>
      <c r="G412" s="19">
        <v>14.715499999999999</v>
      </c>
      <c r="H412" s="43" t="s">
        <v>49</v>
      </c>
      <c r="I412" s="19">
        <f>IF(ISNUMBER(G412),E412*G412,"")</f>
        <v>8.0184759500000009</v>
      </c>
      <c r="J412" s="24"/>
      <c r="K412" s="19"/>
      <c r="L412" s="174">
        <v>0</v>
      </c>
    </row>
    <row r="413" spans="1:12" ht="15.75" hidden="1" thickBot="1" x14ac:dyDescent="0.3">
      <c r="A413" s="181"/>
      <c r="B413" s="179"/>
      <c r="C413" s="25" t="s">
        <v>38</v>
      </c>
      <c r="D413" s="36" t="s">
        <v>21</v>
      </c>
      <c r="E413" s="26">
        <v>0.13619999999999999</v>
      </c>
      <c r="F413" s="22" t="s">
        <v>356</v>
      </c>
      <c r="G413" s="19">
        <v>14.325999999999999</v>
      </c>
      <c r="H413" s="43" t="s">
        <v>39</v>
      </c>
      <c r="I413" s="19">
        <f>IF(ISNUMBER(G413),E413*G413,"")</f>
        <v>1.9512011999999996</v>
      </c>
      <c r="J413" s="24"/>
      <c r="K413" s="19"/>
      <c r="L413" s="174">
        <v>0</v>
      </c>
    </row>
    <row r="414" spans="1:12" ht="15.75" hidden="1" thickBot="1" x14ac:dyDescent="0.3">
      <c r="A414" s="182"/>
      <c r="B414" s="183"/>
      <c r="C414" s="25"/>
      <c r="D414" s="25"/>
      <c r="E414" s="26"/>
      <c r="F414" s="27"/>
      <c r="G414" s="19" t="s">
        <v>1079</v>
      </c>
      <c r="H414" s="27"/>
      <c r="I414" s="19" t="str">
        <f>IF(ISNUMBER(G414),E414*G414,"")</f>
        <v/>
      </c>
      <c r="J414" s="24"/>
      <c r="K414" s="19"/>
      <c r="L414" s="174">
        <v>0</v>
      </c>
    </row>
    <row r="415" spans="1:12" ht="15.75" hidden="1" thickBot="1" x14ac:dyDescent="0.3">
      <c r="A415" s="180" t="s">
        <v>366</v>
      </c>
      <c r="B415" s="178" t="str">
        <f>INDEX(Orçamentária!A:B,MATCH(Composições!A415,Orçamentária!A:A,0),2)</f>
        <v>Reparos superficiais em painéis de gesso acartonado</v>
      </c>
      <c r="C415" s="30"/>
      <c r="D415" s="13" t="str">
        <f>TRIM(INDEX(Orçamentária!C:C,MATCH(Composições!A415,Orçamentária!A:A,0),1))</f>
        <v>m2</v>
      </c>
      <c r="E415" s="14"/>
      <c r="F415" s="15" t="s">
        <v>367</v>
      </c>
      <c r="G415" s="31" t="s">
        <v>1079</v>
      </c>
      <c r="H415" s="16"/>
      <c r="I415" s="16" t="str">
        <f>IF(ISNUMBER(G415),E415*G415,"")</f>
        <v/>
      </c>
      <c r="J415" s="17"/>
      <c r="K415" s="18"/>
      <c r="L415" s="174">
        <v>0</v>
      </c>
    </row>
    <row r="416" spans="1:12" ht="15.75" hidden="1" thickBot="1" x14ac:dyDescent="0.3">
      <c r="A416" s="181"/>
      <c r="B416" s="179"/>
      <c r="C416" s="20"/>
      <c r="D416" s="20"/>
      <c r="E416" s="21"/>
      <c r="F416" s="22"/>
      <c r="G416" s="32" t="s">
        <v>1079</v>
      </c>
      <c r="H416" s="20"/>
      <c r="I416" s="19" t="str">
        <f>IF(ISNUMBER(G416),E416*G416,"")</f>
        <v/>
      </c>
      <c r="J416" s="24"/>
      <c r="K416" s="19"/>
      <c r="L416" s="174">
        <v>0</v>
      </c>
    </row>
    <row r="417" spans="1:12" ht="26.25" hidden="1" thickBot="1" x14ac:dyDescent="0.3">
      <c r="A417" s="181"/>
      <c r="B417" s="179"/>
      <c r="C417" s="25" t="s">
        <v>361</v>
      </c>
      <c r="D417" s="36" t="s">
        <v>184</v>
      </c>
      <c r="E417" s="26">
        <v>1.2513000000000001</v>
      </c>
      <c r="F417" s="22" t="s">
        <v>329</v>
      </c>
      <c r="G417" s="23">
        <v>0.22799999999999998</v>
      </c>
      <c r="H417" s="43" t="s">
        <v>339</v>
      </c>
      <c r="I417" s="19">
        <f>IF(ISNUMBER(G417),E417*G417,"")</f>
        <v>0.28529640000000001</v>
      </c>
      <c r="J417" s="28">
        <f>SUM(I417:I420)</f>
        <v>5.0501961999999994</v>
      </c>
      <c r="K417" s="29"/>
      <c r="L417" s="174">
        <v>0</v>
      </c>
    </row>
    <row r="418" spans="1:12" ht="39" hidden="1" thickBot="1" x14ac:dyDescent="0.3">
      <c r="A418" s="181"/>
      <c r="B418" s="179"/>
      <c r="C418" s="25" t="s">
        <v>363</v>
      </c>
      <c r="D418" s="36" t="s">
        <v>75</v>
      </c>
      <c r="E418" s="26">
        <v>0.51639999999999997</v>
      </c>
      <c r="F418" s="22" t="s">
        <v>329</v>
      </c>
      <c r="G418" s="23">
        <v>4.0089999999999995</v>
      </c>
      <c r="H418" s="43" t="s">
        <v>343</v>
      </c>
      <c r="I418" s="19">
        <f>IF(ISNUMBER(G418),E418*G418,"")</f>
        <v>2.0702475999999996</v>
      </c>
      <c r="J418" s="34"/>
      <c r="K418" s="35"/>
      <c r="L418" s="174">
        <v>0</v>
      </c>
    </row>
    <row r="419" spans="1:12" ht="15.75" hidden="1" thickBot="1" x14ac:dyDescent="0.3">
      <c r="A419" s="181"/>
      <c r="B419" s="179"/>
      <c r="C419" s="25" t="s">
        <v>48</v>
      </c>
      <c r="D419" s="36" t="s">
        <v>21</v>
      </c>
      <c r="E419" s="26">
        <f>0.3636/3</f>
        <v>0.12119999999999999</v>
      </c>
      <c r="F419" s="22" t="s">
        <v>367</v>
      </c>
      <c r="G419" s="19">
        <v>14.715499999999999</v>
      </c>
      <c r="H419" s="43" t="s">
        <v>49</v>
      </c>
      <c r="I419" s="19">
        <f>IF(ISNUMBER(G419),E419*G419,"")</f>
        <v>1.7835185999999996</v>
      </c>
      <c r="J419" s="34"/>
      <c r="K419" s="35"/>
      <c r="L419" s="174">
        <v>0</v>
      </c>
    </row>
    <row r="420" spans="1:12" ht="15.75" hidden="1" thickBot="1" x14ac:dyDescent="0.3">
      <c r="A420" s="181"/>
      <c r="B420" s="179"/>
      <c r="C420" s="25" t="s">
        <v>38</v>
      </c>
      <c r="D420" s="36" t="s">
        <v>21</v>
      </c>
      <c r="E420" s="26">
        <f>ROUND(0.0909*0.7,4)</f>
        <v>6.3600000000000004E-2</v>
      </c>
      <c r="F420" s="22" t="s">
        <v>367</v>
      </c>
      <c r="G420" s="19">
        <v>14.325999999999999</v>
      </c>
      <c r="H420" s="43" t="s">
        <v>39</v>
      </c>
      <c r="I420" s="19">
        <f>IF(ISNUMBER(G420),E420*G420,"")</f>
        <v>0.91113359999999999</v>
      </c>
      <c r="J420" s="34"/>
      <c r="K420" s="35"/>
      <c r="L420" s="174">
        <v>0</v>
      </c>
    </row>
    <row r="421" spans="1:12" ht="15.75" hidden="1" thickBot="1" x14ac:dyDescent="0.3">
      <c r="A421" s="181"/>
      <c r="B421" s="179"/>
      <c r="C421" s="25"/>
      <c r="D421" s="36"/>
      <c r="E421" s="26"/>
      <c r="F421" s="27"/>
      <c r="G421" s="23" t="s">
        <v>1079</v>
      </c>
      <c r="H421" s="27"/>
      <c r="I421" s="23" t="str">
        <f>IF(ISNUMBER(G421),E421*G421,"")</f>
        <v/>
      </c>
      <c r="J421" s="34"/>
      <c r="K421" s="35"/>
      <c r="L421" s="174">
        <v>0</v>
      </c>
    </row>
    <row r="422" spans="1:12" ht="15.75" hidden="1" thickBot="1" x14ac:dyDescent="0.3">
      <c r="A422" s="180" t="s">
        <v>368</v>
      </c>
      <c r="B422" s="178" t="str">
        <f>INDEX(Orçamentária!A:B,MATCH(Composições!A422,Orçamentária!A:A,0),2)</f>
        <v>Sóculo h=10 cm</v>
      </c>
      <c r="C422" s="30"/>
      <c r="D422" s="13" t="str">
        <f>TRIM(INDEX(Orçamentária!C:C,MATCH(Composições!A422,Orçamentária!A:A,0),1))</f>
        <v>m2</v>
      </c>
      <c r="E422" s="14"/>
      <c r="F422" s="15" t="s">
        <v>369</v>
      </c>
      <c r="G422" s="31" t="s">
        <v>1079</v>
      </c>
      <c r="H422" s="16"/>
      <c r="I422" s="16" t="str">
        <f>IF(ISNUMBER(G422),E422*G422,"")</f>
        <v/>
      </c>
      <c r="J422" s="17"/>
      <c r="K422" s="18"/>
      <c r="L422" s="174">
        <v>0</v>
      </c>
    </row>
    <row r="423" spans="1:12" ht="15.75" hidden="1" thickBot="1" x14ac:dyDescent="0.3">
      <c r="A423" s="181"/>
      <c r="B423" s="179"/>
      <c r="C423" s="20"/>
      <c r="D423" s="20"/>
      <c r="E423" s="21"/>
      <c r="F423" s="22"/>
      <c r="G423" s="32" t="s">
        <v>1079</v>
      </c>
      <c r="H423" s="20"/>
      <c r="I423" s="19" t="str">
        <f>IF(ISNUMBER(G423),E423*G423,"")</f>
        <v/>
      </c>
      <c r="J423" s="24"/>
      <c r="K423" s="19"/>
      <c r="L423" s="174">
        <v>0</v>
      </c>
    </row>
    <row r="424" spans="1:12" ht="26.25" hidden="1" thickBot="1" x14ac:dyDescent="0.3">
      <c r="A424" s="181"/>
      <c r="B424" s="179"/>
      <c r="C424" s="25" t="s">
        <v>321</v>
      </c>
      <c r="D424" s="36" t="s">
        <v>184</v>
      </c>
      <c r="E424" s="26">
        <v>0.78500000000000003</v>
      </c>
      <c r="F424" s="27" t="s">
        <v>370</v>
      </c>
      <c r="G424" s="23">
        <v>1.6909999999999998</v>
      </c>
      <c r="H424" s="27" t="s">
        <v>322</v>
      </c>
      <c r="I424" s="23">
        <f>IF(ISNUMBER(G424),E424*G424,"")</f>
        <v>1.3274349999999999</v>
      </c>
      <c r="J424" s="28">
        <f>SUM(I424:I432)</f>
        <v>56.339573438320002</v>
      </c>
      <c r="K424" s="29"/>
      <c r="L424" s="174">
        <v>0</v>
      </c>
    </row>
    <row r="425" spans="1:12" ht="15.75" hidden="1" thickBot="1" x14ac:dyDescent="0.3">
      <c r="A425" s="181"/>
      <c r="B425" s="179"/>
      <c r="C425" s="25" t="s">
        <v>323</v>
      </c>
      <c r="D425" s="36" t="s">
        <v>324</v>
      </c>
      <c r="E425" s="26">
        <v>9.4000000000000004E-3</v>
      </c>
      <c r="F425" s="27" t="s">
        <v>370</v>
      </c>
      <c r="G425" s="23">
        <v>31.587499999999999</v>
      </c>
      <c r="H425" s="27" t="s">
        <v>325</v>
      </c>
      <c r="I425" s="23">
        <f>IF(ISNUMBER(G425),E425*G425,"")</f>
        <v>0.29692249999999998</v>
      </c>
      <c r="J425" s="24"/>
      <c r="K425" s="19"/>
      <c r="L425" s="174">
        <v>0</v>
      </c>
    </row>
    <row r="426" spans="1:12" ht="26.25" hidden="1" thickBot="1" x14ac:dyDescent="0.3">
      <c r="A426" s="181"/>
      <c r="B426" s="179"/>
      <c r="C426" s="25" t="s">
        <v>371</v>
      </c>
      <c r="D426" s="36" t="s">
        <v>32</v>
      </c>
      <c r="E426" s="26">
        <v>13.35</v>
      </c>
      <c r="F426" s="27" t="s">
        <v>370</v>
      </c>
      <c r="G426" s="23">
        <v>1.1495</v>
      </c>
      <c r="H426" s="27" t="s">
        <v>372</v>
      </c>
      <c r="I426" s="23">
        <f>IF(ISNUMBER(G426),E426*G426,"")</f>
        <v>15.345825</v>
      </c>
      <c r="J426" s="24"/>
      <c r="K426" s="19"/>
      <c r="L426" s="174">
        <v>0</v>
      </c>
    </row>
    <row r="427" spans="1:12" ht="51.75" hidden="1" thickBot="1" x14ac:dyDescent="0.3">
      <c r="A427" s="181"/>
      <c r="B427" s="179"/>
      <c r="C427" s="25" t="s">
        <v>326</v>
      </c>
      <c r="D427" s="36" t="s">
        <v>228</v>
      </c>
      <c r="E427" s="26">
        <v>1.04E-2</v>
      </c>
      <c r="F427" s="27" t="s">
        <v>370</v>
      </c>
      <c r="G427" s="23">
        <v>399.09002959999992</v>
      </c>
      <c r="H427" s="27" t="s">
        <v>327</v>
      </c>
      <c r="I427" s="23">
        <f>IF(ISNUMBER(G427),E427*G427,"")</f>
        <v>4.1505363078399986</v>
      </c>
      <c r="J427" s="24"/>
      <c r="K427" s="19"/>
      <c r="L427" s="174">
        <v>0</v>
      </c>
    </row>
    <row r="428" spans="1:12" ht="15.75" hidden="1" thickBot="1" x14ac:dyDescent="0.3">
      <c r="A428" s="181"/>
      <c r="B428" s="179"/>
      <c r="C428" s="25" t="s">
        <v>36</v>
      </c>
      <c r="D428" s="36" t="s">
        <v>21</v>
      </c>
      <c r="E428" s="26">
        <v>0.59</v>
      </c>
      <c r="F428" s="27" t="s">
        <v>370</v>
      </c>
      <c r="G428" s="19">
        <v>19.142499999999998</v>
      </c>
      <c r="H428" s="27" t="s">
        <v>37</v>
      </c>
      <c r="I428" s="23">
        <f>IF(ISNUMBER(G428),E428*G428,"")</f>
        <v>11.294074999999998</v>
      </c>
      <c r="J428" s="24"/>
      <c r="K428" s="19"/>
      <c r="L428" s="174">
        <v>0</v>
      </c>
    </row>
    <row r="429" spans="1:12" ht="15.75" hidden="1" thickBot="1" x14ac:dyDescent="0.3">
      <c r="A429" s="181"/>
      <c r="B429" s="179"/>
      <c r="C429" s="25" t="s">
        <v>38</v>
      </c>
      <c r="D429" s="36" t="s">
        <v>21</v>
      </c>
      <c r="E429" s="26">
        <v>0.29499999999999998</v>
      </c>
      <c r="F429" s="27" t="s">
        <v>370</v>
      </c>
      <c r="G429" s="19">
        <v>14.325999999999999</v>
      </c>
      <c r="H429" s="27" t="s">
        <v>39</v>
      </c>
      <c r="I429" s="23">
        <f>IF(ISNUMBER(G429),E429*G429,"")</f>
        <v>4.2261699999999998</v>
      </c>
      <c r="J429" s="24"/>
      <c r="K429" s="19"/>
      <c r="L429" s="174">
        <v>0</v>
      </c>
    </row>
    <row r="430" spans="1:12" ht="51.75" hidden="1" thickBot="1" x14ac:dyDescent="0.3">
      <c r="A430" s="181"/>
      <c r="B430" s="179"/>
      <c r="C430" s="25" t="s">
        <v>326</v>
      </c>
      <c r="D430" s="36" t="s">
        <v>228</v>
      </c>
      <c r="E430" s="26">
        <v>2.1299999999999999E-2</v>
      </c>
      <c r="F430" s="27" t="s">
        <v>373</v>
      </c>
      <c r="G430" s="23">
        <v>399.09002959999992</v>
      </c>
      <c r="H430" s="27" t="s">
        <v>327</v>
      </c>
      <c r="I430" s="23">
        <f>IF(ISNUMBER(G430),E430*G430,"")</f>
        <v>8.500617630479999</v>
      </c>
      <c r="J430" s="24"/>
      <c r="K430" s="19"/>
      <c r="L430" s="174">
        <v>0</v>
      </c>
    </row>
    <row r="431" spans="1:12" ht="15.75" hidden="1" thickBot="1" x14ac:dyDescent="0.3">
      <c r="A431" s="181"/>
      <c r="B431" s="179"/>
      <c r="C431" s="25" t="s">
        <v>36</v>
      </c>
      <c r="D431" s="36" t="s">
        <v>21</v>
      </c>
      <c r="E431" s="26">
        <v>0.46</v>
      </c>
      <c r="F431" s="27" t="s">
        <v>373</v>
      </c>
      <c r="G431" s="19">
        <v>19.142499999999998</v>
      </c>
      <c r="H431" s="27" t="s">
        <v>37</v>
      </c>
      <c r="I431" s="23">
        <f>IF(ISNUMBER(G431),E431*G431,"")</f>
        <v>8.8055500000000002</v>
      </c>
      <c r="J431" s="24"/>
      <c r="K431" s="19"/>
      <c r="L431" s="174">
        <v>0</v>
      </c>
    </row>
    <row r="432" spans="1:12" ht="15.75" hidden="1" thickBot="1" x14ac:dyDescent="0.3">
      <c r="A432" s="181"/>
      <c r="B432" s="179"/>
      <c r="C432" s="25" t="s">
        <v>38</v>
      </c>
      <c r="D432" s="36" t="s">
        <v>21</v>
      </c>
      <c r="E432" s="26">
        <v>0.16700000000000001</v>
      </c>
      <c r="F432" s="27" t="s">
        <v>373</v>
      </c>
      <c r="G432" s="19">
        <v>14.325999999999999</v>
      </c>
      <c r="H432" s="27" t="s">
        <v>39</v>
      </c>
      <c r="I432" s="23">
        <f>IF(ISNUMBER(G432),E432*G432,"")</f>
        <v>2.392442</v>
      </c>
      <c r="J432" s="24"/>
      <c r="K432" s="19"/>
      <c r="L432" s="174">
        <v>0</v>
      </c>
    </row>
    <row r="433" spans="1:12" ht="15.75" hidden="1" thickBot="1" x14ac:dyDescent="0.3">
      <c r="A433" s="182"/>
      <c r="B433" s="183"/>
      <c r="C433" s="25"/>
      <c r="D433" s="25"/>
      <c r="E433" s="26"/>
      <c r="F433" s="27"/>
      <c r="G433" s="19" t="s">
        <v>1079</v>
      </c>
      <c r="H433" s="27"/>
      <c r="I433" s="19" t="str">
        <f>IF(ISNUMBER(G433),E433*G433,"")</f>
        <v/>
      </c>
      <c r="J433" s="24"/>
      <c r="K433" s="19"/>
      <c r="L433" s="174">
        <v>0</v>
      </c>
    </row>
    <row r="434" spans="1:12" ht="15.75" hidden="1" thickBot="1" x14ac:dyDescent="0.3">
      <c r="A434" s="180" t="s">
        <v>374</v>
      </c>
      <c r="B434" s="178" t="str">
        <f>INDEX(Orçamentária!A:B,MATCH(Composições!A434,Orçamentária!A:A,0),2)</f>
        <v>Chapisco colante industrializado em vigas e pilares</v>
      </c>
      <c r="C434" s="30"/>
      <c r="D434" s="13" t="str">
        <f>TRIM(INDEX(Orçamentária!C:C,MATCH(Composições!A434,Orçamentária!A:A,0),1))</f>
        <v>m2</v>
      </c>
      <c r="E434" s="14"/>
      <c r="F434" s="15" t="s">
        <v>375</v>
      </c>
      <c r="G434" s="31" t="s">
        <v>1079</v>
      </c>
      <c r="H434" s="16"/>
      <c r="I434" s="16" t="str">
        <f>IF(ISNUMBER(G434),E434*G434,"")</f>
        <v/>
      </c>
      <c r="J434" s="17"/>
      <c r="K434" s="18"/>
      <c r="L434" s="174">
        <v>0</v>
      </c>
    </row>
    <row r="435" spans="1:12" ht="15.75" hidden="1" thickBot="1" x14ac:dyDescent="0.3">
      <c r="A435" s="181"/>
      <c r="B435" s="179"/>
      <c r="C435" s="20"/>
      <c r="D435" s="20"/>
      <c r="E435" s="21"/>
      <c r="F435" s="22"/>
      <c r="G435" s="32" t="s">
        <v>1079</v>
      </c>
      <c r="H435" s="20"/>
      <c r="I435" s="19" t="str">
        <f>IF(ISNUMBER(G435),E435*G435,"")</f>
        <v/>
      </c>
      <c r="J435" s="24"/>
      <c r="K435" s="19"/>
      <c r="L435" s="174">
        <v>0</v>
      </c>
    </row>
    <row r="436" spans="1:12" ht="39" hidden="1" thickBot="1" x14ac:dyDescent="0.3">
      <c r="A436" s="181"/>
      <c r="B436" s="179"/>
      <c r="C436" s="25" t="s">
        <v>376</v>
      </c>
      <c r="D436" s="25" t="s">
        <v>228</v>
      </c>
      <c r="E436" s="26">
        <v>3.2000000000000002E-3</v>
      </c>
      <c r="F436" s="27" t="s">
        <v>375</v>
      </c>
      <c r="G436" s="23">
        <v>2614.9235450000006</v>
      </c>
      <c r="H436" s="27" t="s">
        <v>377</v>
      </c>
      <c r="I436" s="23">
        <f>IF(ISNUMBER(G436),E436*G436,"")</f>
        <v>8.3677553440000025</v>
      </c>
      <c r="J436" s="28">
        <f>SUM(I436:I438)</f>
        <v>11.268844444000001</v>
      </c>
      <c r="K436" s="29"/>
      <c r="L436" s="174">
        <v>0</v>
      </c>
    </row>
    <row r="437" spans="1:12" ht="15.75" hidden="1" thickBot="1" x14ac:dyDescent="0.3">
      <c r="A437" s="181"/>
      <c r="B437" s="179"/>
      <c r="C437" s="25" t="s">
        <v>36</v>
      </c>
      <c r="D437" s="25" t="s">
        <v>21</v>
      </c>
      <c r="E437" s="26">
        <v>0.14099999999999999</v>
      </c>
      <c r="F437" s="27" t="s">
        <v>375</v>
      </c>
      <c r="G437" s="19">
        <v>19.142499999999998</v>
      </c>
      <c r="H437" s="27" t="s">
        <v>37</v>
      </c>
      <c r="I437" s="23">
        <f>IF(ISNUMBER(G437),E437*G437,"")</f>
        <v>2.6990924999999995</v>
      </c>
      <c r="J437" s="24"/>
      <c r="K437" s="19"/>
      <c r="L437" s="174">
        <v>0</v>
      </c>
    </row>
    <row r="438" spans="1:12" ht="15.75" hidden="1" thickBot="1" x14ac:dyDescent="0.3">
      <c r="A438" s="181"/>
      <c r="B438" s="179"/>
      <c r="C438" s="25" t="s">
        <v>38</v>
      </c>
      <c r="D438" s="25" t="s">
        <v>21</v>
      </c>
      <c r="E438" s="26">
        <v>1.41E-2</v>
      </c>
      <c r="F438" s="27" t="s">
        <v>375</v>
      </c>
      <c r="G438" s="19">
        <v>14.325999999999999</v>
      </c>
      <c r="H438" s="27" t="s">
        <v>39</v>
      </c>
      <c r="I438" s="23">
        <f>IF(ISNUMBER(G438),E438*G438,"")</f>
        <v>0.20199659999999997</v>
      </c>
      <c r="J438" s="24"/>
      <c r="K438" s="19"/>
      <c r="L438" s="174">
        <v>0</v>
      </c>
    </row>
    <row r="439" spans="1:12" ht="15.75" hidden="1" thickBot="1" x14ac:dyDescent="0.3">
      <c r="A439" s="182"/>
      <c r="B439" s="183"/>
      <c r="C439" s="25"/>
      <c r="D439" s="25"/>
      <c r="E439" s="26"/>
      <c r="F439" s="27"/>
      <c r="G439" s="19" t="s">
        <v>1079</v>
      </c>
      <c r="H439" s="27"/>
      <c r="I439" s="19" t="str">
        <f>IF(ISNUMBER(G439),E439*G439,"")</f>
        <v/>
      </c>
      <c r="J439" s="24"/>
      <c r="K439" s="19"/>
      <c r="L439" s="174">
        <v>0</v>
      </c>
    </row>
    <row r="440" spans="1:12" ht="15.75" thickBot="1" x14ac:dyDescent="0.3">
      <c r="A440" s="288" t="s">
        <v>378</v>
      </c>
      <c r="B440" s="289" t="str">
        <f>INDEX(Orçamentária!A:B,MATCH(Composições!A440,Orçamentária!A:A,0),2)</f>
        <v>Chapisco com argamassa traço 1:3</v>
      </c>
      <c r="C440" s="274"/>
      <c r="D440" s="265" t="str">
        <f>TRIM(INDEX(Orçamentária!C:C,MATCH(Composições!A440,Orçamentária!A:A,0),1))</f>
        <v>m2</v>
      </c>
      <c r="E440" s="290"/>
      <c r="F440" s="259" t="s">
        <v>379</v>
      </c>
      <c r="G440" s="260" t="s">
        <v>1079</v>
      </c>
      <c r="H440" s="261"/>
      <c r="I440" s="261" t="str">
        <f>IF(ISNUMBER(G440),E440*G440,"")</f>
        <v/>
      </c>
      <c r="J440" s="280"/>
      <c r="K440" s="18"/>
      <c r="L440" s="174">
        <v>89.76</v>
      </c>
    </row>
    <row r="441" spans="1:12" x14ac:dyDescent="0.25">
      <c r="A441" s="291"/>
      <c r="B441" s="292"/>
      <c r="C441" s="155"/>
      <c r="D441" s="155"/>
      <c r="E441" s="293"/>
      <c r="F441" s="294"/>
      <c r="G441" s="262" t="s">
        <v>1079</v>
      </c>
      <c r="H441" s="155"/>
      <c r="I441" s="257" t="str">
        <f>IF(ISNUMBER(G441),E441*G441,"")</f>
        <v/>
      </c>
      <c r="J441" s="281"/>
      <c r="K441" s="19"/>
      <c r="L441" s="174">
        <v>89.76</v>
      </c>
    </row>
    <row r="442" spans="1:12" ht="38.25" x14ac:dyDescent="0.25">
      <c r="A442" s="291"/>
      <c r="B442" s="292"/>
      <c r="C442" s="105" t="s">
        <v>380</v>
      </c>
      <c r="D442" s="105" t="s">
        <v>228</v>
      </c>
      <c r="E442" s="250">
        <v>4.1999999999999997E-3</v>
      </c>
      <c r="F442" s="176" t="s">
        <v>381</v>
      </c>
      <c r="G442" s="258">
        <v>433.41200390000006</v>
      </c>
      <c r="H442" s="176" t="s">
        <v>382</v>
      </c>
      <c r="I442" s="258">
        <f>IF(ISNUMBER(G442),E442*G442,"")</f>
        <v>1.82033041638</v>
      </c>
      <c r="J442" s="295">
        <f>SUM(I442:I444)</f>
        <v>3.2605874163799999</v>
      </c>
      <c r="K442" s="29"/>
      <c r="L442" s="174">
        <v>89.76</v>
      </c>
    </row>
    <row r="443" spans="1:12" x14ac:dyDescent="0.25">
      <c r="A443" s="291"/>
      <c r="B443" s="292"/>
      <c r="C443" s="105" t="s">
        <v>36</v>
      </c>
      <c r="D443" s="105" t="s">
        <v>21</v>
      </c>
      <c r="E443" s="250">
        <v>7.0000000000000007E-2</v>
      </c>
      <c r="F443" s="176" t="s">
        <v>381</v>
      </c>
      <c r="G443" s="257">
        <v>19.142499999999998</v>
      </c>
      <c r="H443" s="176" t="s">
        <v>37</v>
      </c>
      <c r="I443" s="257">
        <f>IF(ISNUMBER(G443),E443*G443,"")</f>
        <v>1.3399749999999999</v>
      </c>
      <c r="J443" s="281"/>
      <c r="K443" s="19"/>
      <c r="L443" s="174">
        <v>89.76</v>
      </c>
    </row>
    <row r="444" spans="1:12" x14ac:dyDescent="0.25">
      <c r="A444" s="291"/>
      <c r="B444" s="292"/>
      <c r="C444" s="105" t="s">
        <v>38</v>
      </c>
      <c r="D444" s="105" t="s">
        <v>21</v>
      </c>
      <c r="E444" s="250">
        <v>7.0000000000000001E-3</v>
      </c>
      <c r="F444" s="176" t="s">
        <v>381</v>
      </c>
      <c r="G444" s="257">
        <v>14.325999999999999</v>
      </c>
      <c r="H444" s="176" t="s">
        <v>39</v>
      </c>
      <c r="I444" s="257">
        <f>IF(ISNUMBER(G444),E444*G444,"")</f>
        <v>0.100282</v>
      </c>
      <c r="J444" s="281"/>
      <c r="K444" s="19"/>
      <c r="L444" s="174">
        <v>89.76</v>
      </c>
    </row>
    <row r="445" spans="1:12" ht="15.75" thickBot="1" x14ac:dyDescent="0.3">
      <c r="A445" s="296"/>
      <c r="B445" s="297"/>
      <c r="C445" s="105"/>
      <c r="D445" s="105"/>
      <c r="E445" s="250"/>
      <c r="F445" s="176"/>
      <c r="G445" s="257" t="s">
        <v>1079</v>
      </c>
      <c r="H445" s="176"/>
      <c r="I445" s="257" t="str">
        <f>IF(ISNUMBER(G445),E445*G445,"")</f>
        <v/>
      </c>
      <c r="J445" s="281"/>
      <c r="K445" s="19"/>
      <c r="L445" s="174">
        <v>89.76</v>
      </c>
    </row>
    <row r="446" spans="1:12" ht="15.75" hidden="1" thickBot="1" x14ac:dyDescent="0.3">
      <c r="A446" s="180" t="s">
        <v>383</v>
      </c>
      <c r="B446" s="178" t="str">
        <f>INDEX(Orçamentária!A:B,MATCH(Composições!A446,Orçamentária!A:A,0),2)</f>
        <v>Gesso cola</v>
      </c>
      <c r="C446" s="30"/>
      <c r="D446" s="13" t="str">
        <f>TRIM(INDEX(Orçamentária!C:C,MATCH(Composições!A446,Orçamentária!A:A,0),1))</f>
        <v>m2</v>
      </c>
      <c r="E446" s="14"/>
      <c r="F446" s="15" t="s">
        <v>384</v>
      </c>
      <c r="G446" s="31" t="s">
        <v>1079</v>
      </c>
      <c r="H446" s="16"/>
      <c r="I446" s="16" t="str">
        <f>IF(ISNUMBER(G446),E446*G446,"")</f>
        <v/>
      </c>
      <c r="J446" s="17"/>
      <c r="K446" s="18"/>
      <c r="L446" s="174">
        <v>0</v>
      </c>
    </row>
    <row r="447" spans="1:12" ht="15.75" hidden="1" thickBot="1" x14ac:dyDescent="0.3">
      <c r="A447" s="186"/>
      <c r="B447" s="179"/>
      <c r="C447" s="20"/>
      <c r="D447" s="20"/>
      <c r="E447" s="21"/>
      <c r="F447" s="22"/>
      <c r="G447" s="32" t="s">
        <v>1079</v>
      </c>
      <c r="H447" s="20"/>
      <c r="I447" s="19" t="str">
        <f>IF(ISNUMBER(G447),E447*G447,"")</f>
        <v/>
      </c>
      <c r="J447" s="24"/>
      <c r="K447" s="19"/>
      <c r="L447" s="174">
        <v>0</v>
      </c>
    </row>
    <row r="448" spans="1:12" ht="15.75" hidden="1" thickBot="1" x14ac:dyDescent="0.3">
      <c r="A448" s="186"/>
      <c r="B448" s="179"/>
      <c r="C448" s="25" t="s">
        <v>385</v>
      </c>
      <c r="D448" s="25" t="s">
        <v>21</v>
      </c>
      <c r="E448" s="26">
        <v>0.4</v>
      </c>
      <c r="F448" s="27" t="s">
        <v>386</v>
      </c>
      <c r="G448" s="19">
        <v>19.056999999999999</v>
      </c>
      <c r="H448" s="19" t="s">
        <v>387</v>
      </c>
      <c r="I448" s="19">
        <f>IF(ISNUMBER(G448),E448*G448,"")</f>
        <v>7.6227999999999998</v>
      </c>
      <c r="J448" s="28">
        <f>SUM(I448:I450)</f>
        <v>8.7688799999999993</v>
      </c>
      <c r="K448" s="29"/>
      <c r="L448" s="174">
        <v>0</v>
      </c>
    </row>
    <row r="449" spans="1:12" ht="15.75" hidden="1" thickBot="1" x14ac:dyDescent="0.3">
      <c r="A449" s="186"/>
      <c r="B449" s="179"/>
      <c r="C449" s="25" t="s">
        <v>38</v>
      </c>
      <c r="D449" s="25" t="s">
        <v>21</v>
      </c>
      <c r="E449" s="26">
        <v>0.08</v>
      </c>
      <c r="F449" s="27" t="s">
        <v>386</v>
      </c>
      <c r="G449" s="19">
        <v>14.325999999999999</v>
      </c>
      <c r="H449" s="27" t="s">
        <v>39</v>
      </c>
      <c r="I449" s="19">
        <f>IF(ISNUMBER(G449),E449*G449,"")</f>
        <v>1.14608</v>
      </c>
      <c r="J449" s="24"/>
      <c r="K449" s="19"/>
      <c r="L449" s="174">
        <v>0</v>
      </c>
    </row>
    <row r="450" spans="1:12" ht="15.75" hidden="1" thickBot="1" x14ac:dyDescent="0.3">
      <c r="A450" s="186"/>
      <c r="B450" s="179"/>
      <c r="C450" s="25" t="s">
        <v>388</v>
      </c>
      <c r="D450" s="25" t="s">
        <v>75</v>
      </c>
      <c r="E450" s="26">
        <v>0.75</v>
      </c>
      <c r="F450" s="27" t="s">
        <v>17</v>
      </c>
      <c r="G450" s="19" t="s">
        <v>1079</v>
      </c>
      <c r="H450" s="27" t="s">
        <v>33</v>
      </c>
      <c r="I450" s="19" t="str">
        <f>IF(ISNUMBER(G450),E450*G450,"")</f>
        <v/>
      </c>
      <c r="J450" s="24"/>
      <c r="K450" s="19"/>
      <c r="L450" s="174">
        <v>0</v>
      </c>
    </row>
    <row r="451" spans="1:12" ht="15.75" hidden="1" thickBot="1" x14ac:dyDescent="0.3">
      <c r="A451" s="186"/>
      <c r="B451" s="179"/>
      <c r="C451" s="25"/>
      <c r="D451" s="25"/>
      <c r="E451" s="26"/>
      <c r="F451" s="27"/>
      <c r="G451" s="19" t="s">
        <v>1079</v>
      </c>
      <c r="H451" s="27"/>
      <c r="I451" s="19" t="str">
        <f>IF(ISNUMBER(G451),E451*G451,"")</f>
        <v/>
      </c>
      <c r="J451" s="24"/>
      <c r="K451" s="19"/>
      <c r="L451" s="174">
        <v>0</v>
      </c>
    </row>
    <row r="452" spans="1:12" ht="26.25" hidden="1" thickBot="1" x14ac:dyDescent="0.3">
      <c r="A452" s="186"/>
      <c r="B452" s="179"/>
      <c r="C452" s="44" t="s">
        <v>389</v>
      </c>
      <c r="D452" s="44"/>
      <c r="E452" s="45"/>
      <c r="F452" s="44"/>
      <c r="G452" s="23" t="s">
        <v>1079</v>
      </c>
      <c r="H452" s="27"/>
      <c r="I452" s="19" t="str">
        <f>IF(ISNUMBER(G452),E452*G452,"")</f>
        <v/>
      </c>
      <c r="J452" s="24"/>
      <c r="K452" s="19"/>
      <c r="L452" s="174">
        <v>0</v>
      </c>
    </row>
    <row r="453" spans="1:12" ht="15.75" hidden="1" thickBot="1" x14ac:dyDescent="0.3">
      <c r="A453" s="187"/>
      <c r="B453" s="183"/>
      <c r="C453" s="25"/>
      <c r="D453" s="25"/>
      <c r="E453" s="26"/>
      <c r="F453" s="27"/>
      <c r="G453" s="19" t="s">
        <v>1079</v>
      </c>
      <c r="H453" s="27"/>
      <c r="I453" s="19" t="str">
        <f>IF(ISNUMBER(G453),E453*G453,"")</f>
        <v/>
      </c>
      <c r="J453" s="24"/>
      <c r="K453" s="19"/>
      <c r="L453" s="174">
        <v>0</v>
      </c>
    </row>
    <row r="454" spans="1:12" ht="15.75" thickBot="1" x14ac:dyDescent="0.3">
      <c r="A454" s="288" t="s">
        <v>390</v>
      </c>
      <c r="B454" s="289" t="str">
        <f>INDEX(Orçamentária!A:B,MATCH(Composições!A454,Orçamentária!A:A,0),2)</f>
        <v>Reboco com argamassa industrializada e=2,0 cm</v>
      </c>
      <c r="C454" s="274"/>
      <c r="D454" s="265" t="str">
        <f>TRIM(INDEX(Orçamentária!C:C,MATCH(Composições!A454,Orçamentária!A:A,0),1))</f>
        <v>m2</v>
      </c>
      <c r="E454" s="290"/>
      <c r="F454" s="259" t="s">
        <v>391</v>
      </c>
      <c r="G454" s="260" t="s">
        <v>1079</v>
      </c>
      <c r="H454" s="261"/>
      <c r="I454" s="261" t="str">
        <f>IF(ISNUMBER(G454),E454*G454,"")</f>
        <v/>
      </c>
      <c r="J454" s="280"/>
      <c r="K454" s="18"/>
      <c r="L454" s="174">
        <v>89.76</v>
      </c>
    </row>
    <row r="455" spans="1:12" x14ac:dyDescent="0.25">
      <c r="A455" s="291"/>
      <c r="B455" s="292"/>
      <c r="C455" s="155"/>
      <c r="D455" s="155"/>
      <c r="E455" s="293"/>
      <c r="F455" s="294"/>
      <c r="G455" s="262" t="s">
        <v>1079</v>
      </c>
      <c r="H455" s="155"/>
      <c r="I455" s="257" t="str">
        <f>IF(ISNUMBER(G455),E455*G455,"")</f>
        <v/>
      </c>
      <c r="J455" s="281"/>
      <c r="K455" s="19"/>
      <c r="L455" s="174">
        <v>89.76</v>
      </c>
    </row>
    <row r="456" spans="1:12" ht="25.5" x14ac:dyDescent="0.25">
      <c r="A456" s="291"/>
      <c r="B456" s="292"/>
      <c r="C456" s="105" t="s">
        <v>392</v>
      </c>
      <c r="D456" s="105" t="s">
        <v>75</v>
      </c>
      <c r="E456" s="250">
        <f>1890*0.02</f>
        <v>37.800000000000004</v>
      </c>
      <c r="F456" s="176" t="s">
        <v>393</v>
      </c>
      <c r="G456" s="258">
        <v>0.34199999999999997</v>
      </c>
      <c r="H456" s="176" t="s">
        <v>394</v>
      </c>
      <c r="I456" s="257">
        <f>IF(ISNUMBER(G456),E456*G456,"")</f>
        <v>12.9276</v>
      </c>
      <c r="J456" s="295">
        <f>SUM(I456:I459)</f>
        <v>27.330515800000001</v>
      </c>
      <c r="K456" s="29"/>
      <c r="L456" s="174">
        <v>89.76</v>
      </c>
    </row>
    <row r="457" spans="1:12" x14ac:dyDescent="0.25">
      <c r="A457" s="291"/>
      <c r="B457" s="292"/>
      <c r="C457" s="105" t="s">
        <v>38</v>
      </c>
      <c r="D457" s="105" t="s">
        <v>21</v>
      </c>
      <c r="E457" s="250">
        <f>13.64*0.02</f>
        <v>0.27280000000000004</v>
      </c>
      <c r="F457" s="176" t="s">
        <v>393</v>
      </c>
      <c r="G457" s="257">
        <v>14.325999999999999</v>
      </c>
      <c r="H457" s="176" t="s">
        <v>39</v>
      </c>
      <c r="I457" s="257">
        <f>IF(ISNUMBER(G457),E457*G457,"")</f>
        <v>3.9081328000000002</v>
      </c>
      <c r="J457" s="282"/>
      <c r="K457" s="35"/>
      <c r="L457" s="174">
        <v>89.76</v>
      </c>
    </row>
    <row r="458" spans="1:12" x14ac:dyDescent="0.25">
      <c r="A458" s="291"/>
      <c r="B458" s="292"/>
      <c r="C458" s="105" t="s">
        <v>36</v>
      </c>
      <c r="D458" s="105" t="s">
        <v>21</v>
      </c>
      <c r="E458" s="250">
        <v>0.43</v>
      </c>
      <c r="F458" s="176" t="s">
        <v>395</v>
      </c>
      <c r="G458" s="257">
        <v>19.142499999999998</v>
      </c>
      <c r="H458" s="176" t="s">
        <v>37</v>
      </c>
      <c r="I458" s="257">
        <f>IF(ISNUMBER(G458),E458*G458,"")</f>
        <v>8.2312749999999983</v>
      </c>
      <c r="J458" s="281"/>
      <c r="K458" s="19"/>
      <c r="L458" s="174">
        <v>89.76</v>
      </c>
    </row>
    <row r="459" spans="1:12" x14ac:dyDescent="0.25">
      <c r="A459" s="291"/>
      <c r="B459" s="292"/>
      <c r="C459" s="105" t="s">
        <v>38</v>
      </c>
      <c r="D459" s="105" t="s">
        <v>21</v>
      </c>
      <c r="E459" s="250">
        <f>0.158</f>
        <v>0.158</v>
      </c>
      <c r="F459" s="176" t="s">
        <v>395</v>
      </c>
      <c r="G459" s="257">
        <v>14.325999999999999</v>
      </c>
      <c r="H459" s="176" t="s">
        <v>39</v>
      </c>
      <c r="I459" s="257">
        <f>IF(ISNUMBER(G459),E459*G459,"")</f>
        <v>2.2635079999999999</v>
      </c>
      <c r="J459" s="281"/>
      <c r="K459" s="19"/>
      <c r="L459" s="174">
        <v>89.76</v>
      </c>
    </row>
    <row r="460" spans="1:12" x14ac:dyDescent="0.25">
      <c r="A460" s="291"/>
      <c r="B460" s="292"/>
      <c r="C460" s="105"/>
      <c r="D460" s="105"/>
      <c r="E460" s="250"/>
      <c r="F460" s="176"/>
      <c r="G460" s="257" t="s">
        <v>1079</v>
      </c>
      <c r="H460" s="176"/>
      <c r="I460" s="257" t="str">
        <f>IF(ISNUMBER(G460),E460*G460,"")</f>
        <v/>
      </c>
      <c r="J460" s="281"/>
      <c r="K460" s="19"/>
      <c r="L460" s="174">
        <v>89.76</v>
      </c>
    </row>
    <row r="461" spans="1:12" ht="51" x14ac:dyDescent="0.25">
      <c r="A461" s="291"/>
      <c r="B461" s="292"/>
      <c r="C461" s="304" t="s">
        <v>396</v>
      </c>
      <c r="D461" s="105"/>
      <c r="E461" s="250"/>
      <c r="F461" s="176"/>
      <c r="G461" s="257" t="s">
        <v>1079</v>
      </c>
      <c r="H461" s="176"/>
      <c r="I461" s="257" t="str">
        <f>IF(ISNUMBER(G461),E461*G461,"")</f>
        <v/>
      </c>
      <c r="J461" s="281"/>
      <c r="K461" s="19"/>
      <c r="L461" s="174">
        <v>89.76</v>
      </c>
    </row>
    <row r="462" spans="1:12" ht="30" x14ac:dyDescent="0.25">
      <c r="A462" s="291"/>
      <c r="B462" s="292"/>
      <c r="C462" s="305" t="s">
        <v>397</v>
      </c>
      <c r="D462" s="105"/>
      <c r="E462" s="250"/>
      <c r="F462" s="176"/>
      <c r="G462" s="257" t="s">
        <v>1079</v>
      </c>
      <c r="H462" s="176"/>
      <c r="I462" s="257" t="str">
        <f>IF(ISNUMBER(G462),E462*G462,"")</f>
        <v/>
      </c>
      <c r="J462" s="281"/>
      <c r="K462" s="19"/>
      <c r="L462" s="174">
        <v>89.76</v>
      </c>
    </row>
    <row r="463" spans="1:12" ht="15.75" thickBot="1" x14ac:dyDescent="0.3">
      <c r="A463" s="296"/>
      <c r="B463" s="297"/>
      <c r="C463" s="105"/>
      <c r="D463" s="105"/>
      <c r="E463" s="250"/>
      <c r="F463" s="176"/>
      <c r="G463" s="257" t="s">
        <v>1079</v>
      </c>
      <c r="H463" s="176"/>
      <c r="I463" s="257" t="str">
        <f>IF(ISNUMBER(G463),E463*G463,"")</f>
        <v/>
      </c>
      <c r="J463" s="281"/>
      <c r="K463" s="19"/>
      <c r="L463" s="174">
        <v>89.76</v>
      </c>
    </row>
    <row r="464" spans="1:12" ht="15.75" hidden="1" thickBot="1" x14ac:dyDescent="0.3">
      <c r="A464" s="180" t="s">
        <v>398</v>
      </c>
      <c r="B464" s="178" t="str">
        <f>INDEX(Orçamentária!A:B,MATCH(Composições!A464,Orçamentária!A:A,0),2)</f>
        <v>Regularização com argamassa industrializada e=0,5 cm</v>
      </c>
      <c r="C464" s="30"/>
      <c r="D464" s="13" t="str">
        <f>TRIM(INDEX(Orçamentária!C:C,MATCH(Composições!A464,Orçamentária!A:A,0),1))</f>
        <v>m2</v>
      </c>
      <c r="E464" s="14"/>
      <c r="F464" s="15" t="s">
        <v>399</v>
      </c>
      <c r="G464" s="31" t="s">
        <v>1079</v>
      </c>
      <c r="H464" s="16"/>
      <c r="I464" s="16" t="str">
        <f>IF(ISNUMBER(G464),E464*G464,"")</f>
        <v/>
      </c>
      <c r="J464" s="17"/>
      <c r="K464" s="18"/>
      <c r="L464" s="174">
        <v>0</v>
      </c>
    </row>
    <row r="465" spans="1:12" ht="15.75" hidden="1" thickBot="1" x14ac:dyDescent="0.3">
      <c r="A465" s="181"/>
      <c r="B465" s="179"/>
      <c r="C465" s="20"/>
      <c r="D465" s="20"/>
      <c r="E465" s="21"/>
      <c r="F465" s="22"/>
      <c r="G465" s="32" t="s">
        <v>1079</v>
      </c>
      <c r="H465" s="20"/>
      <c r="I465" s="19" t="str">
        <f>IF(ISNUMBER(G465),E465*G465,"")</f>
        <v/>
      </c>
      <c r="J465" s="24"/>
      <c r="K465" s="19"/>
      <c r="L465" s="174">
        <v>0</v>
      </c>
    </row>
    <row r="466" spans="1:12" ht="26.25" hidden="1" thickBot="1" x14ac:dyDescent="0.3">
      <c r="A466" s="181"/>
      <c r="B466" s="179"/>
      <c r="C466" s="25" t="s">
        <v>392</v>
      </c>
      <c r="D466" s="25" t="s">
        <v>75</v>
      </c>
      <c r="E466" s="26">
        <f>1890*0.005</f>
        <v>9.4500000000000011</v>
      </c>
      <c r="F466" s="27" t="s">
        <v>393</v>
      </c>
      <c r="G466" s="23">
        <v>0.34199999999999997</v>
      </c>
      <c r="H466" s="27" t="s">
        <v>394</v>
      </c>
      <c r="I466" s="19">
        <f>IF(ISNUMBER(G466),E466*G466,"")</f>
        <v>3.2319</v>
      </c>
      <c r="J466" s="28">
        <f>SUM(I466:I469)</f>
        <v>9.6464652999999991</v>
      </c>
      <c r="K466" s="29"/>
      <c r="L466" s="174">
        <v>0</v>
      </c>
    </row>
    <row r="467" spans="1:12" ht="15.75" hidden="1" thickBot="1" x14ac:dyDescent="0.3">
      <c r="A467" s="181"/>
      <c r="B467" s="179"/>
      <c r="C467" s="25" t="s">
        <v>38</v>
      </c>
      <c r="D467" s="25" t="s">
        <v>21</v>
      </c>
      <c r="E467" s="26">
        <f>13.64*0.005</f>
        <v>6.8200000000000011E-2</v>
      </c>
      <c r="F467" s="27" t="s">
        <v>393</v>
      </c>
      <c r="G467" s="19">
        <v>14.325999999999999</v>
      </c>
      <c r="H467" s="27" t="s">
        <v>39</v>
      </c>
      <c r="I467" s="19">
        <f>IF(ISNUMBER(G467),E467*G467,"")</f>
        <v>0.97703320000000005</v>
      </c>
      <c r="J467" s="24"/>
      <c r="K467" s="19"/>
      <c r="L467" s="174">
        <v>0</v>
      </c>
    </row>
    <row r="468" spans="1:12" ht="15.75" hidden="1" thickBot="1" x14ac:dyDescent="0.3">
      <c r="A468" s="181"/>
      <c r="B468" s="179"/>
      <c r="C468" s="25" t="s">
        <v>36</v>
      </c>
      <c r="D468" s="25" t="s">
        <v>21</v>
      </c>
      <c r="E468" s="26">
        <f>0.31*0.7</f>
        <v>0.217</v>
      </c>
      <c r="F468" s="27" t="s">
        <v>400</v>
      </c>
      <c r="G468" s="19">
        <v>19.142499999999998</v>
      </c>
      <c r="H468" s="27" t="s">
        <v>37</v>
      </c>
      <c r="I468" s="19">
        <f>IF(ISNUMBER(G468),E468*G468,"")</f>
        <v>4.1539224999999993</v>
      </c>
      <c r="J468" s="24"/>
      <c r="K468" s="19"/>
      <c r="L468" s="174">
        <v>0</v>
      </c>
    </row>
    <row r="469" spans="1:12" ht="15.75" hidden="1" thickBot="1" x14ac:dyDescent="0.3">
      <c r="A469" s="181"/>
      <c r="B469" s="179"/>
      <c r="C469" s="25" t="s">
        <v>38</v>
      </c>
      <c r="D469" s="25" t="s">
        <v>21</v>
      </c>
      <c r="E469" s="26">
        <f>0.128*0.7</f>
        <v>8.9599999999999999E-2</v>
      </c>
      <c r="F469" s="27" t="s">
        <v>400</v>
      </c>
      <c r="G469" s="19">
        <v>14.325999999999999</v>
      </c>
      <c r="H469" s="27" t="s">
        <v>39</v>
      </c>
      <c r="I469" s="19">
        <f>IF(ISNUMBER(G469),E469*G469,"")</f>
        <v>1.2836095999999999</v>
      </c>
      <c r="J469" s="24"/>
      <c r="K469" s="19"/>
      <c r="L469" s="174">
        <v>0</v>
      </c>
    </row>
    <row r="470" spans="1:12" ht="15.75" hidden="1" thickBot="1" x14ac:dyDescent="0.3">
      <c r="A470" s="182"/>
      <c r="B470" s="183"/>
      <c r="C470" s="25"/>
      <c r="D470" s="25"/>
      <c r="E470" s="26"/>
      <c r="F470" s="27"/>
      <c r="G470" s="19" t="s">
        <v>1079</v>
      </c>
      <c r="H470" s="27"/>
      <c r="I470" s="19" t="str">
        <f>IF(ISNUMBER(G470),E470*G470,"")</f>
        <v/>
      </c>
      <c r="J470" s="24"/>
      <c r="K470" s="19"/>
      <c r="L470" s="174">
        <v>0</v>
      </c>
    </row>
    <row r="471" spans="1:12" ht="15.75" hidden="1" thickBot="1" x14ac:dyDescent="0.3">
      <c r="A471" s="180" t="s">
        <v>401</v>
      </c>
      <c r="B471" s="178" t="str">
        <f>INDEX(Orçamentária!A:B,MATCH(Composições!A471,Orçamentária!A:A,0),2)</f>
        <v>Tratamento de trincas superficiais</v>
      </c>
      <c r="C471" s="30"/>
      <c r="D471" s="13" t="str">
        <f>TRIM(INDEX(Orçamentária!C:C,MATCH(Composições!A471,Orçamentária!A:A,0),1))</f>
        <v>m</v>
      </c>
      <c r="E471" s="14"/>
      <c r="F471" s="15" t="s">
        <v>402</v>
      </c>
      <c r="G471" s="31" t="s">
        <v>1079</v>
      </c>
      <c r="H471" s="16"/>
      <c r="I471" s="16" t="str">
        <f>IF(ISNUMBER(G471),E471*G471,"")</f>
        <v/>
      </c>
      <c r="J471" s="17"/>
      <c r="K471" s="18"/>
      <c r="L471" s="174">
        <v>0</v>
      </c>
    </row>
    <row r="472" spans="1:12" ht="15.75" hidden="1" thickBot="1" x14ac:dyDescent="0.3">
      <c r="A472" s="181"/>
      <c r="B472" s="179"/>
      <c r="C472" s="20"/>
      <c r="D472" s="20"/>
      <c r="E472" s="21"/>
      <c r="F472" s="22"/>
      <c r="G472" s="32" t="s">
        <v>1079</v>
      </c>
      <c r="H472" s="20"/>
      <c r="I472" s="19" t="str">
        <f>IF(ISNUMBER(G472),E472*G472,"")</f>
        <v/>
      </c>
      <c r="J472" s="24"/>
      <c r="K472" s="19"/>
      <c r="L472" s="174">
        <v>0</v>
      </c>
    </row>
    <row r="473" spans="1:12" ht="15.75" hidden="1" thickBot="1" x14ac:dyDescent="0.3">
      <c r="A473" s="181"/>
      <c r="B473" s="179"/>
      <c r="C473" s="25" t="s">
        <v>38</v>
      </c>
      <c r="D473" s="36" t="s">
        <v>21</v>
      </c>
      <c r="E473" s="26">
        <v>0.6</v>
      </c>
      <c r="F473" s="27" t="s">
        <v>403</v>
      </c>
      <c r="G473" s="19">
        <v>14.325999999999999</v>
      </c>
      <c r="H473" s="27" t="s">
        <v>39</v>
      </c>
      <c r="I473" s="23">
        <f>IF(ISNUMBER(G473),E473*G473,"")</f>
        <v>8.5955999999999992</v>
      </c>
      <c r="J473" s="28">
        <f>SUM(I473:I477)</f>
        <v>16.748156099999999</v>
      </c>
      <c r="K473" s="29"/>
      <c r="L473" s="174">
        <v>0</v>
      </c>
    </row>
    <row r="474" spans="1:12" ht="15.75" hidden="1" thickBot="1" x14ac:dyDescent="0.3">
      <c r="A474" s="181"/>
      <c r="B474" s="179"/>
      <c r="C474" s="25" t="s">
        <v>36</v>
      </c>
      <c r="D474" s="36" t="s">
        <v>21</v>
      </c>
      <c r="E474" s="26">
        <v>0.155</v>
      </c>
      <c r="F474" s="27" t="s">
        <v>403</v>
      </c>
      <c r="G474" s="19">
        <v>19.142499999999998</v>
      </c>
      <c r="H474" s="27" t="s">
        <v>37</v>
      </c>
      <c r="I474" s="23">
        <f>IF(ISNUMBER(G474),E474*G474,"")</f>
        <v>2.9670874999999999</v>
      </c>
      <c r="J474" s="24"/>
      <c r="K474" s="19"/>
      <c r="L474" s="174">
        <v>0</v>
      </c>
    </row>
    <row r="475" spans="1:12" ht="15.75" hidden="1" thickBot="1" x14ac:dyDescent="0.3">
      <c r="A475" s="181"/>
      <c r="B475" s="179"/>
      <c r="C475" s="25" t="s">
        <v>404</v>
      </c>
      <c r="D475" s="36" t="s">
        <v>184</v>
      </c>
      <c r="E475" s="26">
        <v>1.05</v>
      </c>
      <c r="F475" s="27" t="s">
        <v>403</v>
      </c>
      <c r="G475" s="23">
        <v>0</v>
      </c>
      <c r="H475" s="27" t="s">
        <v>405</v>
      </c>
      <c r="I475" s="23">
        <f>IF(ISNUMBER(G475),E475*G475,"")</f>
        <v>0</v>
      </c>
      <c r="J475" s="24"/>
      <c r="K475" s="19"/>
      <c r="L475" s="174">
        <v>0</v>
      </c>
    </row>
    <row r="476" spans="1:12" ht="15.75" hidden="1" thickBot="1" x14ac:dyDescent="0.3">
      <c r="A476" s="181"/>
      <c r="B476" s="179"/>
      <c r="C476" s="25" t="s">
        <v>406</v>
      </c>
      <c r="D476" s="41" t="s">
        <v>208</v>
      </c>
      <c r="E476" s="26">
        <f>ROUND(1*0.15/(165/18),4)</f>
        <v>1.6400000000000001E-2</v>
      </c>
      <c r="F476" s="27" t="s">
        <v>17</v>
      </c>
      <c r="G476" s="23">
        <v>22.961500000000001</v>
      </c>
      <c r="H476" s="27" t="s">
        <v>407</v>
      </c>
      <c r="I476" s="23">
        <f>IF(ISNUMBER(G476),E476*G476,"")</f>
        <v>0.37656860000000003</v>
      </c>
      <c r="J476" s="24"/>
      <c r="K476" s="19"/>
      <c r="L476" s="174">
        <v>0</v>
      </c>
    </row>
    <row r="477" spans="1:12" ht="15.75" hidden="1" thickBot="1" x14ac:dyDescent="0.3">
      <c r="A477" s="181"/>
      <c r="B477" s="179"/>
      <c r="C477" s="25" t="s">
        <v>408</v>
      </c>
      <c r="D477" s="36" t="s">
        <v>75</v>
      </c>
      <c r="E477" s="26">
        <f>1/5</f>
        <v>0.2</v>
      </c>
      <c r="F477" s="27" t="s">
        <v>17</v>
      </c>
      <c r="G477" s="23">
        <v>24.044499999999999</v>
      </c>
      <c r="H477" s="27" t="s">
        <v>409</v>
      </c>
      <c r="I477" s="23">
        <f>IF(ISNUMBER(G477),E477*G477,"")</f>
        <v>4.8089000000000004</v>
      </c>
      <c r="J477" s="24"/>
      <c r="K477" s="19"/>
      <c r="L477" s="174">
        <v>0</v>
      </c>
    </row>
    <row r="478" spans="1:12" ht="15.75" hidden="1" thickBot="1" x14ac:dyDescent="0.3">
      <c r="A478" s="181"/>
      <c r="B478" s="179"/>
      <c r="C478" s="25"/>
      <c r="D478" s="36"/>
      <c r="E478" s="26"/>
      <c r="F478" s="27"/>
      <c r="G478" s="23" t="s">
        <v>1079</v>
      </c>
      <c r="H478" s="27"/>
      <c r="I478" s="23" t="str">
        <f>IF(ISNUMBER(G478),E478*G478,"")</f>
        <v/>
      </c>
      <c r="J478" s="24"/>
      <c r="K478" s="19"/>
      <c r="L478" s="174">
        <v>0</v>
      </c>
    </row>
    <row r="479" spans="1:12" ht="39" hidden="1" thickBot="1" x14ac:dyDescent="0.3">
      <c r="A479" s="181"/>
      <c r="B479" s="179"/>
      <c r="C479" s="44" t="s">
        <v>410</v>
      </c>
      <c r="D479" s="36"/>
      <c r="E479" s="26"/>
      <c r="F479" s="27"/>
      <c r="G479" s="23" t="s">
        <v>1079</v>
      </c>
      <c r="H479" s="27"/>
      <c r="I479" s="23" t="str">
        <f>IF(ISNUMBER(G479),E479*G479,"")</f>
        <v/>
      </c>
      <c r="J479" s="24"/>
      <c r="K479" s="19"/>
      <c r="L479" s="174">
        <v>0</v>
      </c>
    </row>
    <row r="480" spans="1:12" ht="24" hidden="1" thickBot="1" x14ac:dyDescent="0.3">
      <c r="A480" s="181"/>
      <c r="B480" s="179"/>
      <c r="C480" s="166" t="s">
        <v>411</v>
      </c>
      <c r="D480" s="36"/>
      <c r="E480" s="26"/>
      <c r="F480" s="27"/>
      <c r="G480" s="23" t="s">
        <v>1079</v>
      </c>
      <c r="H480" s="27"/>
      <c r="I480" s="23" t="str">
        <f>IF(ISNUMBER(G480),E480*G480,"")</f>
        <v/>
      </c>
      <c r="J480" s="24"/>
      <c r="K480" s="19"/>
      <c r="L480" s="174">
        <v>0</v>
      </c>
    </row>
    <row r="481" spans="1:12" ht="24" hidden="1" thickBot="1" x14ac:dyDescent="0.3">
      <c r="A481" s="181"/>
      <c r="B481" s="179"/>
      <c r="C481" s="166" t="s">
        <v>412</v>
      </c>
      <c r="D481" s="36"/>
      <c r="E481" s="26"/>
      <c r="F481" s="27"/>
      <c r="G481" s="23" t="s">
        <v>1079</v>
      </c>
      <c r="H481" s="27"/>
      <c r="I481" s="23" t="str">
        <f>IF(ISNUMBER(G481),E481*G481,"")</f>
        <v/>
      </c>
      <c r="J481" s="24"/>
      <c r="K481" s="19"/>
      <c r="L481" s="174">
        <v>0</v>
      </c>
    </row>
    <row r="482" spans="1:12" ht="15.75" hidden="1" thickBot="1" x14ac:dyDescent="0.3">
      <c r="A482" s="182"/>
      <c r="B482" s="183"/>
      <c r="C482" s="25"/>
      <c r="D482" s="25"/>
      <c r="E482" s="26"/>
      <c r="F482" s="27"/>
      <c r="G482" s="19" t="s">
        <v>1079</v>
      </c>
      <c r="H482" s="27"/>
      <c r="I482" s="19" t="str">
        <f>IF(ISNUMBER(G482),E482*G482,"")</f>
        <v/>
      </c>
      <c r="J482" s="24"/>
      <c r="K482" s="19"/>
      <c r="L482" s="174">
        <v>0</v>
      </c>
    </row>
    <row r="483" spans="1:12" ht="15.75" thickBot="1" x14ac:dyDescent="0.3">
      <c r="A483" s="288" t="s">
        <v>413</v>
      </c>
      <c r="B483" s="289" t="str">
        <f>INDEX(Orçamentária!A:B,MATCH(Composições!A483,Orçamentária!A:A,0),2)</f>
        <v>Aplicação de fundo selador base água</v>
      </c>
      <c r="C483" s="274"/>
      <c r="D483" s="265" t="str">
        <f>TRIM(INDEX(Orçamentária!C:C,MATCH(Composições!A483,Orçamentária!A:A,0),1))</f>
        <v>m2</v>
      </c>
      <c r="E483" s="290"/>
      <c r="F483" s="259" t="s">
        <v>414</v>
      </c>
      <c r="G483" s="260" t="s">
        <v>1079</v>
      </c>
      <c r="H483" s="261"/>
      <c r="I483" s="261" t="str">
        <f>IF(ISNUMBER(G483),E483*G483,"")</f>
        <v/>
      </c>
      <c r="J483" s="280"/>
      <c r="K483" s="18"/>
      <c r="L483" s="174">
        <v>576.34</v>
      </c>
    </row>
    <row r="484" spans="1:12" x14ac:dyDescent="0.25">
      <c r="A484" s="291"/>
      <c r="B484" s="292"/>
      <c r="C484" s="155"/>
      <c r="D484" s="155"/>
      <c r="E484" s="293"/>
      <c r="F484" s="294"/>
      <c r="G484" s="262" t="s">
        <v>1079</v>
      </c>
      <c r="H484" s="155"/>
      <c r="I484" s="257" t="str">
        <f>IF(ISNUMBER(G484),E484*G484,"")</f>
        <v/>
      </c>
      <c r="J484" s="281"/>
      <c r="K484" s="19"/>
      <c r="L484" s="174">
        <v>576.34</v>
      </c>
    </row>
    <row r="485" spans="1:12" x14ac:dyDescent="0.25">
      <c r="A485" s="291"/>
      <c r="B485" s="292"/>
      <c r="C485" s="105" t="s">
        <v>205</v>
      </c>
      <c r="D485" s="271" t="s">
        <v>21</v>
      </c>
      <c r="E485" s="250">
        <v>0.106</v>
      </c>
      <c r="F485" s="176" t="s">
        <v>415</v>
      </c>
      <c r="G485" s="257">
        <v>20.196999999999999</v>
      </c>
      <c r="H485" s="176" t="s">
        <v>206</v>
      </c>
      <c r="I485" s="258">
        <f>IF(ISNUMBER(G485),E485*G485,"")</f>
        <v>2.140882</v>
      </c>
      <c r="J485" s="295">
        <f>SUM(I485:I487)</f>
        <v>3.6828839999999996</v>
      </c>
      <c r="K485" s="29"/>
      <c r="L485" s="174">
        <v>576.34</v>
      </c>
    </row>
    <row r="486" spans="1:12" x14ac:dyDescent="0.25">
      <c r="A486" s="291"/>
      <c r="B486" s="292"/>
      <c r="C486" s="105" t="s">
        <v>38</v>
      </c>
      <c r="D486" s="271" t="s">
        <v>21</v>
      </c>
      <c r="E486" s="250">
        <v>2.7E-2</v>
      </c>
      <c r="F486" s="176" t="s">
        <v>415</v>
      </c>
      <c r="G486" s="257">
        <v>14.325999999999999</v>
      </c>
      <c r="H486" s="176" t="s">
        <v>39</v>
      </c>
      <c r="I486" s="258">
        <f>IF(ISNUMBER(G486),E486*G486,"")</f>
        <v>0.38680199999999998</v>
      </c>
      <c r="J486" s="281"/>
      <c r="K486" s="19"/>
      <c r="L486" s="174">
        <v>576.34</v>
      </c>
    </row>
    <row r="487" spans="1:12" x14ac:dyDescent="0.25">
      <c r="A487" s="291"/>
      <c r="B487" s="292"/>
      <c r="C487" s="105" t="s">
        <v>416</v>
      </c>
      <c r="D487" s="3" t="s">
        <v>208</v>
      </c>
      <c r="E487" s="250">
        <v>0.16</v>
      </c>
      <c r="F487" s="176" t="s">
        <v>415</v>
      </c>
      <c r="G487" s="258">
        <v>7.22</v>
      </c>
      <c r="H487" s="176" t="s">
        <v>33</v>
      </c>
      <c r="I487" s="258">
        <f>IF(ISNUMBER(G487),E487*G487,"")</f>
        <v>1.1552</v>
      </c>
      <c r="J487" s="281"/>
      <c r="K487" s="19"/>
      <c r="L487" s="174">
        <v>576.34</v>
      </c>
    </row>
    <row r="488" spans="1:12" ht="15.75" thickBot="1" x14ac:dyDescent="0.3">
      <c r="A488" s="296"/>
      <c r="B488" s="297"/>
      <c r="C488" s="105"/>
      <c r="D488" s="105"/>
      <c r="E488" s="250"/>
      <c r="F488" s="176"/>
      <c r="G488" s="257" t="s">
        <v>1079</v>
      </c>
      <c r="H488" s="176"/>
      <c r="I488" s="257" t="str">
        <f>IF(ISNUMBER(G488),E488*G488,"")</f>
        <v/>
      </c>
      <c r="J488" s="281"/>
      <c r="K488" s="19"/>
      <c r="L488" s="174">
        <v>576.34</v>
      </c>
    </row>
    <row r="489" spans="1:12" ht="15.75" thickBot="1" x14ac:dyDescent="0.3">
      <c r="A489" s="288" t="s">
        <v>417</v>
      </c>
      <c r="B489" s="289" t="str">
        <f>INDEX(Orçamentária!A:B,MATCH(Composições!A489,Orçamentária!A:A,0),2)</f>
        <v>Fundo anticorrosivo e de aderência (base água)</v>
      </c>
      <c r="C489" s="274"/>
      <c r="D489" s="265" t="str">
        <f>TRIM(INDEX(Orçamentária!C:C,MATCH(Composições!A489,Orçamentária!A:A,0),1))</f>
        <v>m2</v>
      </c>
      <c r="E489" s="290"/>
      <c r="F489" s="259" t="s">
        <v>418</v>
      </c>
      <c r="G489" s="260" t="s">
        <v>1079</v>
      </c>
      <c r="H489" s="261"/>
      <c r="I489" s="261" t="str">
        <f>IF(ISNUMBER(G489),E489*G489,"")</f>
        <v/>
      </c>
      <c r="J489" s="280"/>
      <c r="K489" s="18"/>
      <c r="L489" s="174">
        <v>100</v>
      </c>
    </row>
    <row r="490" spans="1:12" x14ac:dyDescent="0.25">
      <c r="A490" s="291"/>
      <c r="B490" s="292"/>
      <c r="C490" s="155"/>
      <c r="D490" s="155"/>
      <c r="E490" s="293"/>
      <c r="F490" s="294"/>
      <c r="G490" s="262" t="s">
        <v>1079</v>
      </c>
      <c r="H490" s="155"/>
      <c r="I490" s="257" t="str">
        <f>IF(ISNUMBER(G490),E490*G490,"")</f>
        <v/>
      </c>
      <c r="J490" s="281"/>
      <c r="K490" s="19"/>
      <c r="L490" s="174">
        <v>100</v>
      </c>
    </row>
    <row r="491" spans="1:12" x14ac:dyDescent="0.25">
      <c r="A491" s="291"/>
      <c r="B491" s="292"/>
      <c r="C491" s="105" t="s">
        <v>205</v>
      </c>
      <c r="D491" s="271" t="s">
        <v>21</v>
      </c>
      <c r="E491" s="250">
        <f>2*0.2149</f>
        <v>0.42980000000000002</v>
      </c>
      <c r="F491" s="176" t="s">
        <v>419</v>
      </c>
      <c r="G491" s="257">
        <v>20.196999999999999</v>
      </c>
      <c r="H491" s="176" t="s">
        <v>206</v>
      </c>
      <c r="I491" s="258">
        <f>IF(ISNUMBER(G491),E491*G491,"")</f>
        <v>8.6806705999999991</v>
      </c>
      <c r="J491" s="295">
        <f>SUM(I491:I492)</f>
        <v>12.475870599999999</v>
      </c>
      <c r="K491" s="29"/>
      <c r="L491" s="174">
        <v>100</v>
      </c>
    </row>
    <row r="492" spans="1:12" x14ac:dyDescent="0.25">
      <c r="A492" s="291"/>
      <c r="B492" s="292"/>
      <c r="C492" s="105" t="s">
        <v>420</v>
      </c>
      <c r="D492" s="3" t="s">
        <v>208</v>
      </c>
      <c r="E492" s="250">
        <f>2*(3.6/45)</f>
        <v>0.16</v>
      </c>
      <c r="F492" s="176" t="s">
        <v>17</v>
      </c>
      <c r="G492" s="258">
        <v>23.72</v>
      </c>
      <c r="H492" s="176" t="s">
        <v>33</v>
      </c>
      <c r="I492" s="258">
        <f>IF(ISNUMBER(G492),E492*G492,"")</f>
        <v>3.7951999999999999</v>
      </c>
      <c r="J492" s="281"/>
      <c r="K492" s="19"/>
      <c r="L492" s="174">
        <v>100</v>
      </c>
    </row>
    <row r="493" spans="1:12" x14ac:dyDescent="0.25">
      <c r="A493" s="291"/>
      <c r="B493" s="292"/>
      <c r="C493" s="105"/>
      <c r="D493" s="271"/>
      <c r="E493" s="250"/>
      <c r="F493" s="176"/>
      <c r="G493" s="258" t="s">
        <v>1079</v>
      </c>
      <c r="H493" s="176"/>
      <c r="I493" s="258" t="str">
        <f>IF(ISNUMBER(G493),E493*G493,"")</f>
        <v/>
      </c>
      <c r="J493" s="281"/>
      <c r="K493" s="19"/>
      <c r="L493" s="174">
        <v>100</v>
      </c>
    </row>
    <row r="494" spans="1:12" ht="25.5" x14ac:dyDescent="0.25">
      <c r="A494" s="291"/>
      <c r="B494" s="292"/>
      <c r="C494" s="304" t="s">
        <v>421</v>
      </c>
      <c r="D494" s="271"/>
      <c r="E494" s="250"/>
      <c r="F494" s="176"/>
      <c r="G494" s="258" t="s">
        <v>1079</v>
      </c>
      <c r="H494" s="176"/>
      <c r="I494" s="258" t="str">
        <f>IF(ISNUMBER(G494),E494*G494,"")</f>
        <v/>
      </c>
      <c r="J494" s="281"/>
      <c r="K494" s="19"/>
      <c r="L494" s="174">
        <v>100</v>
      </c>
    </row>
    <row r="495" spans="1:12" ht="30" x14ac:dyDescent="0.25">
      <c r="A495" s="291"/>
      <c r="B495" s="292"/>
      <c r="C495" s="306" t="s">
        <v>422</v>
      </c>
      <c r="D495" s="271"/>
      <c r="E495" s="250"/>
      <c r="F495" s="176"/>
      <c r="G495" s="258" t="s">
        <v>1079</v>
      </c>
      <c r="H495" s="176"/>
      <c r="I495" s="258" t="str">
        <f>IF(ISNUMBER(G495),E495*G495,"")</f>
        <v/>
      </c>
      <c r="J495" s="281"/>
      <c r="K495" s="19"/>
      <c r="L495" s="174">
        <v>100</v>
      </c>
    </row>
    <row r="496" spans="1:12" ht="30.75" thickBot="1" x14ac:dyDescent="0.3">
      <c r="A496" s="296"/>
      <c r="B496" s="297"/>
      <c r="C496" s="306" t="s">
        <v>423</v>
      </c>
      <c r="D496" s="105"/>
      <c r="E496" s="250"/>
      <c r="F496" s="176"/>
      <c r="G496" s="257" t="s">
        <v>1079</v>
      </c>
      <c r="H496" s="176"/>
      <c r="I496" s="257" t="str">
        <f>IF(ISNUMBER(G496),E496*G496,"")</f>
        <v/>
      </c>
      <c r="J496" s="281"/>
      <c r="K496" s="19"/>
      <c r="L496" s="174">
        <v>100</v>
      </c>
    </row>
    <row r="497" spans="1:12" ht="15.75" thickBot="1" x14ac:dyDescent="0.3">
      <c r="A497" s="288" t="s">
        <v>424</v>
      </c>
      <c r="B497" s="289" t="str">
        <f>INDEX(Orçamentária!A:B,MATCH(Composições!A497,Orçamentária!A:A,0),2)</f>
        <v>Massa acrílica</v>
      </c>
      <c r="C497" s="274"/>
      <c r="D497" s="265" t="str">
        <f>TRIM(INDEX(Orçamentária!C:C,MATCH(Composições!A497,Orçamentária!A:A,0),1))</f>
        <v>m2</v>
      </c>
      <c r="E497" s="290"/>
      <c r="F497" s="259" t="s">
        <v>425</v>
      </c>
      <c r="G497" s="260" t="s">
        <v>1079</v>
      </c>
      <c r="H497" s="261"/>
      <c r="I497" s="261" t="str">
        <f>IF(ISNUMBER(G497),E497*G497,"")</f>
        <v/>
      </c>
      <c r="J497" s="280"/>
      <c r="K497" s="18"/>
      <c r="L497" s="174">
        <v>38.94</v>
      </c>
    </row>
    <row r="498" spans="1:12" x14ac:dyDescent="0.25">
      <c r="A498" s="291"/>
      <c r="B498" s="292"/>
      <c r="C498" s="155"/>
      <c r="D498" s="155"/>
      <c r="E498" s="293"/>
      <c r="F498" s="294"/>
      <c r="G498" s="262" t="s">
        <v>1079</v>
      </c>
      <c r="H498" s="155"/>
      <c r="I498" s="257" t="str">
        <f>IF(ISNUMBER(G498),E498*G498,"")</f>
        <v/>
      </c>
      <c r="J498" s="281"/>
      <c r="K498" s="19"/>
      <c r="L498" s="174">
        <v>38.94</v>
      </c>
    </row>
    <row r="499" spans="1:12" x14ac:dyDescent="0.25">
      <c r="A499" s="291"/>
      <c r="B499" s="292"/>
      <c r="C499" s="105" t="s">
        <v>426</v>
      </c>
      <c r="D499" s="271" t="s">
        <v>32</v>
      </c>
      <c r="E499" s="250">
        <v>0.1</v>
      </c>
      <c r="F499" s="176" t="s">
        <v>425</v>
      </c>
      <c r="G499" s="258">
        <v>0.59849999999999992</v>
      </c>
      <c r="H499" s="176" t="s">
        <v>427</v>
      </c>
      <c r="I499" s="258">
        <f>IF(ISNUMBER(G499),E499*G499,"")</f>
        <v>5.9849999999999993E-2</v>
      </c>
      <c r="J499" s="295">
        <f>SUM(I499:I502)</f>
        <v>14.763265999999998</v>
      </c>
      <c r="K499" s="29"/>
      <c r="L499" s="174">
        <v>38.94</v>
      </c>
    </row>
    <row r="500" spans="1:12" x14ac:dyDescent="0.25">
      <c r="A500" s="291"/>
      <c r="B500" s="292"/>
      <c r="C500" s="105" t="s">
        <v>428</v>
      </c>
      <c r="D500" s="271" t="s">
        <v>429</v>
      </c>
      <c r="E500" s="250">
        <v>0.24399999999999999</v>
      </c>
      <c r="F500" s="176" t="s">
        <v>425</v>
      </c>
      <c r="G500" s="258">
        <v>27.74</v>
      </c>
      <c r="H500" s="176" t="s">
        <v>430</v>
      </c>
      <c r="I500" s="258">
        <f>IF(ISNUMBER(G500),E500*G500,"")</f>
        <v>6.7685599999999999</v>
      </c>
      <c r="J500" s="281"/>
      <c r="K500" s="19"/>
      <c r="L500" s="174">
        <v>38.94</v>
      </c>
    </row>
    <row r="501" spans="1:12" x14ac:dyDescent="0.25">
      <c r="A501" s="291"/>
      <c r="B501" s="292"/>
      <c r="C501" s="105" t="s">
        <v>205</v>
      </c>
      <c r="D501" s="271" t="s">
        <v>21</v>
      </c>
      <c r="E501" s="250">
        <v>0.33400000000000002</v>
      </c>
      <c r="F501" s="176" t="s">
        <v>425</v>
      </c>
      <c r="G501" s="257">
        <v>20.196999999999999</v>
      </c>
      <c r="H501" s="176" t="s">
        <v>206</v>
      </c>
      <c r="I501" s="258">
        <f>IF(ISNUMBER(G501),E501*G501,"")</f>
        <v>6.7457979999999997</v>
      </c>
      <c r="J501" s="281"/>
      <c r="K501" s="19"/>
      <c r="L501" s="174">
        <v>38.94</v>
      </c>
    </row>
    <row r="502" spans="1:12" x14ac:dyDescent="0.25">
      <c r="A502" s="291"/>
      <c r="B502" s="292"/>
      <c r="C502" s="105" t="s">
        <v>38</v>
      </c>
      <c r="D502" s="271" t="s">
        <v>21</v>
      </c>
      <c r="E502" s="250">
        <v>8.3000000000000004E-2</v>
      </c>
      <c r="F502" s="176" t="s">
        <v>425</v>
      </c>
      <c r="G502" s="257">
        <v>14.325999999999999</v>
      </c>
      <c r="H502" s="176" t="s">
        <v>39</v>
      </c>
      <c r="I502" s="258">
        <f>IF(ISNUMBER(G502),E502*G502,"")</f>
        <v>1.1890579999999999</v>
      </c>
      <c r="J502" s="281"/>
      <c r="K502" s="19"/>
      <c r="L502" s="174">
        <v>38.94</v>
      </c>
    </row>
    <row r="503" spans="1:12" ht="15.75" thickBot="1" x14ac:dyDescent="0.3">
      <c r="A503" s="296"/>
      <c r="B503" s="297"/>
      <c r="C503" s="105"/>
      <c r="D503" s="105"/>
      <c r="E503" s="250"/>
      <c r="F503" s="176"/>
      <c r="G503" s="257" t="s">
        <v>1079</v>
      </c>
      <c r="H503" s="176"/>
      <c r="I503" s="257" t="str">
        <f>IF(ISNUMBER(G503),E503*G503,"")</f>
        <v/>
      </c>
      <c r="J503" s="281"/>
      <c r="K503" s="19"/>
      <c r="L503" s="174">
        <v>38.94</v>
      </c>
    </row>
    <row r="504" spans="1:12" ht="15.75" thickBot="1" x14ac:dyDescent="0.3">
      <c r="A504" s="288" t="s">
        <v>431</v>
      </c>
      <c r="B504" s="289" t="str">
        <f>INDEX(Orçamentária!A:B,MATCH(Composições!A504,Orçamentária!A:A,0),2)</f>
        <v>Massa corrida</v>
      </c>
      <c r="C504" s="274"/>
      <c r="D504" s="265" t="str">
        <f>TRIM(INDEX(Orçamentária!C:C,MATCH(Composições!A504,Orçamentária!A:A,0),1))</f>
        <v>m2</v>
      </c>
      <c r="E504" s="290"/>
      <c r="F504" s="259" t="s">
        <v>432</v>
      </c>
      <c r="G504" s="260" t="s">
        <v>1079</v>
      </c>
      <c r="H504" s="261"/>
      <c r="I504" s="261" t="str">
        <f>IF(ISNUMBER(G504),E504*G504,"")</f>
        <v/>
      </c>
      <c r="J504" s="280"/>
      <c r="K504" s="18"/>
      <c r="L504" s="174">
        <v>145.15</v>
      </c>
    </row>
    <row r="505" spans="1:12" x14ac:dyDescent="0.25">
      <c r="A505" s="291"/>
      <c r="B505" s="292"/>
      <c r="C505" s="155"/>
      <c r="D505" s="155"/>
      <c r="E505" s="293"/>
      <c r="F505" s="294"/>
      <c r="G505" s="262" t="s">
        <v>1079</v>
      </c>
      <c r="H505" s="155"/>
      <c r="I505" s="257" t="str">
        <f>IF(ISNUMBER(G505),E505*G505,"")</f>
        <v/>
      </c>
      <c r="J505" s="281"/>
      <c r="K505" s="19"/>
      <c r="L505" s="174">
        <v>145.15</v>
      </c>
    </row>
    <row r="506" spans="1:12" x14ac:dyDescent="0.25">
      <c r="A506" s="291"/>
      <c r="B506" s="292"/>
      <c r="C506" s="105" t="s">
        <v>426</v>
      </c>
      <c r="D506" s="271" t="s">
        <v>32</v>
      </c>
      <c r="E506" s="250">
        <v>0.1</v>
      </c>
      <c r="F506" s="176" t="s">
        <v>432</v>
      </c>
      <c r="G506" s="258">
        <v>0.59849999999999992</v>
      </c>
      <c r="H506" s="176" t="s">
        <v>427</v>
      </c>
      <c r="I506" s="258">
        <f>IF(ISNUMBER(G506),E506*G506,"")</f>
        <v>5.9849999999999993E-2</v>
      </c>
      <c r="J506" s="295">
        <f>SUM(I506:I509)</f>
        <v>11.381047500000001</v>
      </c>
      <c r="K506" s="29"/>
      <c r="L506" s="174">
        <v>145.15</v>
      </c>
    </row>
    <row r="507" spans="1:12" x14ac:dyDescent="0.25">
      <c r="A507" s="291"/>
      <c r="B507" s="292"/>
      <c r="C507" s="105" t="s">
        <v>433</v>
      </c>
      <c r="D507" s="271" t="s">
        <v>434</v>
      </c>
      <c r="E507" s="250">
        <v>4.8899999999999999E-2</v>
      </c>
      <c r="F507" s="176" t="s">
        <v>432</v>
      </c>
      <c r="G507" s="258">
        <v>69.254999999999995</v>
      </c>
      <c r="H507" s="176" t="s">
        <v>435</v>
      </c>
      <c r="I507" s="258">
        <f>IF(ISNUMBER(G507),E507*G507,"")</f>
        <v>3.3865694999999998</v>
      </c>
      <c r="J507" s="281"/>
      <c r="K507" s="19"/>
      <c r="L507" s="174">
        <v>145.15</v>
      </c>
    </row>
    <row r="508" spans="1:12" x14ac:dyDescent="0.25">
      <c r="A508" s="291"/>
      <c r="B508" s="292"/>
      <c r="C508" s="105" t="s">
        <v>205</v>
      </c>
      <c r="D508" s="271" t="s">
        <v>21</v>
      </c>
      <c r="E508" s="250">
        <v>0.312</v>
      </c>
      <c r="F508" s="176" t="s">
        <v>432</v>
      </c>
      <c r="G508" s="257">
        <v>20.196999999999999</v>
      </c>
      <c r="H508" s="176" t="s">
        <v>206</v>
      </c>
      <c r="I508" s="258">
        <f>IF(ISNUMBER(G508),E508*G508,"")</f>
        <v>6.3014640000000002</v>
      </c>
      <c r="J508" s="281"/>
      <c r="K508" s="19"/>
      <c r="L508" s="174">
        <v>145.15</v>
      </c>
    </row>
    <row r="509" spans="1:12" x14ac:dyDescent="0.25">
      <c r="A509" s="291"/>
      <c r="B509" s="292"/>
      <c r="C509" s="105" t="s">
        <v>38</v>
      </c>
      <c r="D509" s="271" t="s">
        <v>21</v>
      </c>
      <c r="E509" s="250">
        <v>0.114</v>
      </c>
      <c r="F509" s="176" t="s">
        <v>432</v>
      </c>
      <c r="G509" s="257">
        <v>14.325999999999999</v>
      </c>
      <c r="H509" s="176" t="s">
        <v>39</v>
      </c>
      <c r="I509" s="258">
        <f>IF(ISNUMBER(G509),E509*G509,"")</f>
        <v>1.6331639999999998</v>
      </c>
      <c r="J509" s="281"/>
      <c r="K509" s="19"/>
      <c r="L509" s="174">
        <v>145.15</v>
      </c>
    </row>
    <row r="510" spans="1:12" ht="15.75" thickBot="1" x14ac:dyDescent="0.3">
      <c r="A510" s="296"/>
      <c r="B510" s="297"/>
      <c r="C510" s="105"/>
      <c r="D510" s="105"/>
      <c r="E510" s="250"/>
      <c r="F510" s="176"/>
      <c r="G510" s="257" t="s">
        <v>1079</v>
      </c>
      <c r="H510" s="176"/>
      <c r="I510" s="257" t="str">
        <f>IF(ISNUMBER(G510),E510*G510,"")</f>
        <v/>
      </c>
      <c r="J510" s="281"/>
      <c r="K510" s="19"/>
      <c r="L510" s="174">
        <v>145.15</v>
      </c>
    </row>
    <row r="511" spans="1:12" ht="15.75" thickBot="1" x14ac:dyDescent="0.3">
      <c r="A511" s="288" t="s">
        <v>436</v>
      </c>
      <c r="B511" s="289" t="str">
        <f>INDEX(Orçamentária!A:B,MATCH(Composições!A511,Orçamentária!A:A,0),2)</f>
        <v>Pintura com tinta látex acrílica Premium (paredes)</v>
      </c>
      <c r="C511" s="274"/>
      <c r="D511" s="265" t="str">
        <f>TRIM(INDEX(Orçamentária!C:C,MATCH(Composições!A511,Orçamentária!A:A,0),1))</f>
        <v>m2</v>
      </c>
      <c r="E511" s="290"/>
      <c r="F511" s="259" t="s">
        <v>437</v>
      </c>
      <c r="G511" s="260" t="s">
        <v>1079</v>
      </c>
      <c r="H511" s="261"/>
      <c r="I511" s="261" t="str">
        <f>IF(ISNUMBER(G511),E511*G511,"")</f>
        <v/>
      </c>
      <c r="J511" s="280"/>
      <c r="K511" s="18"/>
      <c r="L511" s="174">
        <v>174.18</v>
      </c>
    </row>
    <row r="512" spans="1:12" x14ac:dyDescent="0.25">
      <c r="A512" s="291"/>
      <c r="B512" s="292"/>
      <c r="C512" s="155"/>
      <c r="D512" s="155"/>
      <c r="E512" s="293"/>
      <c r="F512" s="294"/>
      <c r="G512" s="262" t="s">
        <v>1079</v>
      </c>
      <c r="H512" s="155"/>
      <c r="I512" s="257" t="str">
        <f>IF(ISNUMBER(G512),E512*G512,"")</f>
        <v/>
      </c>
      <c r="J512" s="281"/>
      <c r="K512" s="19"/>
      <c r="L512" s="174">
        <v>174.18</v>
      </c>
    </row>
    <row r="513" spans="1:12" x14ac:dyDescent="0.25">
      <c r="A513" s="291"/>
      <c r="B513" s="292"/>
      <c r="C513" s="105" t="s">
        <v>205</v>
      </c>
      <c r="D513" s="271" t="s">
        <v>21</v>
      </c>
      <c r="E513" s="250">
        <v>0.187</v>
      </c>
      <c r="F513" s="176" t="s">
        <v>437</v>
      </c>
      <c r="G513" s="257">
        <v>20.196999999999999</v>
      </c>
      <c r="H513" s="176" t="s">
        <v>206</v>
      </c>
      <c r="I513" s="258">
        <f>IF(ISNUMBER(G513),E513*G513,"")</f>
        <v>3.7768389999999998</v>
      </c>
      <c r="J513" s="295">
        <f>SUM(I513:I515)</f>
        <v>11.308078</v>
      </c>
      <c r="K513" s="29"/>
      <c r="L513" s="174">
        <v>174.18</v>
      </c>
    </row>
    <row r="514" spans="1:12" x14ac:dyDescent="0.25">
      <c r="A514" s="291"/>
      <c r="B514" s="292"/>
      <c r="C514" s="105" t="s">
        <v>38</v>
      </c>
      <c r="D514" s="271" t="s">
        <v>21</v>
      </c>
      <c r="E514" s="250">
        <v>6.9000000000000006E-2</v>
      </c>
      <c r="F514" s="176" t="s">
        <v>437</v>
      </c>
      <c r="G514" s="257">
        <v>14.325999999999999</v>
      </c>
      <c r="H514" s="176" t="s">
        <v>39</v>
      </c>
      <c r="I514" s="258">
        <f>IF(ISNUMBER(G514),E514*G514,"")</f>
        <v>0.98849399999999998</v>
      </c>
      <c r="J514" s="281"/>
      <c r="K514" s="19"/>
      <c r="L514" s="174">
        <v>174.18</v>
      </c>
    </row>
    <row r="515" spans="1:12" x14ac:dyDescent="0.25">
      <c r="A515" s="291"/>
      <c r="B515" s="292"/>
      <c r="C515" s="105" t="s">
        <v>438</v>
      </c>
      <c r="D515" s="3" t="s">
        <v>208</v>
      </c>
      <c r="E515" s="250">
        <v>0.33</v>
      </c>
      <c r="F515" s="176" t="s">
        <v>437</v>
      </c>
      <c r="G515" s="258">
        <v>19.826499999999999</v>
      </c>
      <c r="H515" s="176" t="s">
        <v>439</v>
      </c>
      <c r="I515" s="258">
        <f>IF(ISNUMBER(G515),E515*G515,"")</f>
        <v>6.542745</v>
      </c>
      <c r="J515" s="281"/>
      <c r="K515" s="19"/>
      <c r="L515" s="174">
        <v>174.18</v>
      </c>
    </row>
    <row r="516" spans="1:12" ht="15.75" thickBot="1" x14ac:dyDescent="0.3">
      <c r="A516" s="296"/>
      <c r="B516" s="297"/>
      <c r="C516" s="105"/>
      <c r="D516" s="105"/>
      <c r="E516" s="250"/>
      <c r="F516" s="176"/>
      <c r="G516" s="257" t="s">
        <v>1079</v>
      </c>
      <c r="H516" s="176"/>
      <c r="I516" s="257" t="str">
        <f>IF(ISNUMBER(G516),E516*G516,"")</f>
        <v/>
      </c>
      <c r="J516" s="281"/>
      <c r="K516" s="19"/>
      <c r="L516" s="174">
        <v>174.18</v>
      </c>
    </row>
    <row r="517" spans="1:12" ht="15.75" thickBot="1" x14ac:dyDescent="0.3">
      <c r="A517" s="288" t="s">
        <v>440</v>
      </c>
      <c r="B517" s="289" t="str">
        <f>INDEX(Orçamentária!A:B,MATCH(Composições!A517,Orçamentária!A:A,0),2)</f>
        <v>Pintura em verniz sintético</v>
      </c>
      <c r="C517" s="274"/>
      <c r="D517" s="265" t="str">
        <f>TRIM(INDEX(Orçamentária!C:C,MATCH(Composições!A517,Orçamentária!A:A,0),1))</f>
        <v>m2</v>
      </c>
      <c r="E517" s="290"/>
      <c r="F517" s="259" t="s">
        <v>441</v>
      </c>
      <c r="G517" s="260" t="s">
        <v>1079</v>
      </c>
      <c r="H517" s="261"/>
      <c r="I517" s="261" t="str">
        <f>IF(ISNUMBER(G517),E517*G517,"")</f>
        <v/>
      </c>
      <c r="J517" s="280"/>
      <c r="K517" s="18"/>
      <c r="L517" s="174">
        <v>14.55</v>
      </c>
    </row>
    <row r="518" spans="1:12" x14ac:dyDescent="0.25">
      <c r="A518" s="291"/>
      <c r="B518" s="292"/>
      <c r="C518" s="155"/>
      <c r="D518" s="155"/>
      <c r="E518" s="293"/>
      <c r="F518" s="294"/>
      <c r="G518" s="262" t="s">
        <v>1079</v>
      </c>
      <c r="H518" s="155"/>
      <c r="I518" s="257" t="str">
        <f>IF(ISNUMBER(G518),E518*G518,"")</f>
        <v/>
      </c>
      <c r="J518" s="281"/>
      <c r="K518" s="19"/>
      <c r="L518" s="174">
        <v>14.55</v>
      </c>
    </row>
    <row r="519" spans="1:12" x14ac:dyDescent="0.25">
      <c r="A519" s="291"/>
      <c r="B519" s="292"/>
      <c r="C519" s="105" t="s">
        <v>426</v>
      </c>
      <c r="D519" s="105" t="s">
        <v>32</v>
      </c>
      <c r="E519" s="250">
        <v>1</v>
      </c>
      <c r="F519" s="176" t="s">
        <v>442</v>
      </c>
      <c r="G519" s="258">
        <v>0.59849999999999992</v>
      </c>
      <c r="H519" s="176" t="s">
        <v>427</v>
      </c>
      <c r="I519" s="257">
        <f>IF(ISNUMBER(G519),E519*G519,"")</f>
        <v>0.59849999999999992</v>
      </c>
      <c r="J519" s="295">
        <f>SUM(I519:I522)</f>
        <v>15.621849999999998</v>
      </c>
      <c r="K519" s="29"/>
      <c r="L519" s="174">
        <v>14.55</v>
      </c>
    </row>
    <row r="520" spans="1:12" x14ac:dyDescent="0.25">
      <c r="A520" s="291"/>
      <c r="B520" s="292"/>
      <c r="C520" s="105" t="s">
        <v>443</v>
      </c>
      <c r="D520" s="3" t="s">
        <v>208</v>
      </c>
      <c r="E520" s="250">
        <v>7.4999999999999997E-2</v>
      </c>
      <c r="F520" s="176" t="s">
        <v>442</v>
      </c>
      <c r="G520" s="258">
        <v>35.29</v>
      </c>
      <c r="H520" s="176" t="s">
        <v>33</v>
      </c>
      <c r="I520" s="257">
        <f>IF(ISNUMBER(G520),E520*G520,"")</f>
        <v>2.6467499999999999</v>
      </c>
      <c r="J520" s="281"/>
      <c r="K520" s="19"/>
      <c r="L520" s="174">
        <v>14.55</v>
      </c>
    </row>
    <row r="521" spans="1:12" x14ac:dyDescent="0.25">
      <c r="A521" s="291"/>
      <c r="B521" s="292"/>
      <c r="C521" s="105" t="s">
        <v>205</v>
      </c>
      <c r="D521" s="105" t="s">
        <v>21</v>
      </c>
      <c r="E521" s="250">
        <v>0.4</v>
      </c>
      <c r="F521" s="176" t="s">
        <v>442</v>
      </c>
      <c r="G521" s="257">
        <v>20.196999999999999</v>
      </c>
      <c r="H521" s="176" t="s">
        <v>206</v>
      </c>
      <c r="I521" s="257">
        <f>IF(ISNUMBER(G521),E521*G521,"")</f>
        <v>8.0787999999999993</v>
      </c>
      <c r="J521" s="281"/>
      <c r="K521" s="19"/>
      <c r="L521" s="174">
        <v>14.55</v>
      </c>
    </row>
    <row r="522" spans="1:12" x14ac:dyDescent="0.25">
      <c r="A522" s="291"/>
      <c r="B522" s="292"/>
      <c r="C522" s="105" t="s">
        <v>38</v>
      </c>
      <c r="D522" s="105" t="s">
        <v>21</v>
      </c>
      <c r="E522" s="250">
        <v>0.3</v>
      </c>
      <c r="F522" s="176" t="s">
        <v>442</v>
      </c>
      <c r="G522" s="257">
        <v>14.325999999999999</v>
      </c>
      <c r="H522" s="176" t="s">
        <v>39</v>
      </c>
      <c r="I522" s="257">
        <f>IF(ISNUMBER(G522),E522*G522,"")</f>
        <v>4.2977999999999996</v>
      </c>
      <c r="J522" s="281"/>
      <c r="K522" s="19"/>
      <c r="L522" s="174">
        <v>14.55</v>
      </c>
    </row>
    <row r="523" spans="1:12" ht="15.75" thickBot="1" x14ac:dyDescent="0.3">
      <c r="A523" s="296"/>
      <c r="B523" s="297"/>
      <c r="C523" s="105"/>
      <c r="D523" s="105"/>
      <c r="E523" s="250"/>
      <c r="F523" s="176"/>
      <c r="G523" s="257" t="s">
        <v>1079</v>
      </c>
      <c r="H523" s="176"/>
      <c r="I523" s="257" t="str">
        <f>IF(ISNUMBER(G523),E523*G523,"")</f>
        <v/>
      </c>
      <c r="J523" s="281"/>
      <c r="K523" s="19"/>
      <c r="L523" s="174">
        <v>14.55</v>
      </c>
    </row>
    <row r="524" spans="1:12" ht="15.75" thickBot="1" x14ac:dyDescent="0.3">
      <c r="A524" s="288" t="s">
        <v>444</v>
      </c>
      <c r="B524" s="289" t="str">
        <f>INDEX(Orçamentária!A:B,MATCH(Composições!A524,Orçamentária!A:A,0),2)</f>
        <v>Pintura esmalte acetinado (metais e madeiras)</v>
      </c>
      <c r="C524" s="274"/>
      <c r="D524" s="265" t="str">
        <f>TRIM(INDEX(Orçamentária!C:C,MATCH(Composições!A524,Orçamentária!A:A,0),1))</f>
        <v>m2</v>
      </c>
      <c r="E524" s="290"/>
      <c r="F524" s="259" t="s">
        <v>445</v>
      </c>
      <c r="G524" s="260" t="s">
        <v>1079</v>
      </c>
      <c r="H524" s="261"/>
      <c r="I524" s="261" t="str">
        <f>IF(ISNUMBER(G524),E524*G524,"")</f>
        <v/>
      </c>
      <c r="J524" s="280"/>
      <c r="K524" s="18"/>
      <c r="L524" s="174">
        <v>16.579999999999998</v>
      </c>
    </row>
    <row r="525" spans="1:12" x14ac:dyDescent="0.25">
      <c r="A525" s="291"/>
      <c r="B525" s="292"/>
      <c r="C525" s="155"/>
      <c r="D525" s="155"/>
      <c r="E525" s="293"/>
      <c r="F525" s="294"/>
      <c r="G525" s="262" t="s">
        <v>1079</v>
      </c>
      <c r="H525" s="155"/>
      <c r="I525" s="257" t="str">
        <f>IF(ISNUMBER(G525),E525*G525,"")</f>
        <v/>
      </c>
      <c r="J525" s="281"/>
      <c r="K525" s="19"/>
      <c r="L525" s="174">
        <v>16.579999999999998</v>
      </c>
    </row>
    <row r="526" spans="1:12" x14ac:dyDescent="0.25">
      <c r="A526" s="291"/>
      <c r="B526" s="292"/>
      <c r="C526" s="105" t="s">
        <v>205</v>
      </c>
      <c r="D526" s="271" t="s">
        <v>21</v>
      </c>
      <c r="E526" s="250">
        <v>0.4</v>
      </c>
      <c r="F526" s="176" t="s">
        <v>446</v>
      </c>
      <c r="G526" s="257">
        <v>20.196999999999999</v>
      </c>
      <c r="H526" s="176" t="s">
        <v>206</v>
      </c>
      <c r="I526" s="258">
        <f>IF(ISNUMBER(G526),E526*G526,"")</f>
        <v>8.0787999999999993</v>
      </c>
      <c r="J526" s="295">
        <f>SUM(I526:I529)</f>
        <v>16.407399999999999</v>
      </c>
      <c r="K526" s="29"/>
      <c r="L526" s="174">
        <v>16.579999999999998</v>
      </c>
    </row>
    <row r="527" spans="1:12" x14ac:dyDescent="0.25">
      <c r="A527" s="291"/>
      <c r="B527" s="292"/>
      <c r="C527" s="105" t="s">
        <v>38</v>
      </c>
      <c r="D527" s="271" t="s">
        <v>21</v>
      </c>
      <c r="E527" s="250">
        <v>0.2</v>
      </c>
      <c r="F527" s="176" t="s">
        <v>446</v>
      </c>
      <c r="G527" s="257">
        <v>14.325999999999999</v>
      </c>
      <c r="H527" s="176" t="s">
        <v>39</v>
      </c>
      <c r="I527" s="258">
        <f>IF(ISNUMBER(G527),E527*G527,"")</f>
        <v>2.8651999999999997</v>
      </c>
      <c r="J527" s="281"/>
      <c r="K527" s="19"/>
      <c r="L527" s="174">
        <v>16.579999999999998</v>
      </c>
    </row>
    <row r="528" spans="1:12" x14ac:dyDescent="0.25">
      <c r="A528" s="291"/>
      <c r="B528" s="292"/>
      <c r="C528" s="105" t="s">
        <v>426</v>
      </c>
      <c r="D528" s="271" t="s">
        <v>32</v>
      </c>
      <c r="E528" s="250">
        <v>0.4</v>
      </c>
      <c r="F528" s="176" t="s">
        <v>446</v>
      </c>
      <c r="G528" s="258">
        <v>0.59849999999999992</v>
      </c>
      <c r="H528" s="176" t="s">
        <v>427</v>
      </c>
      <c r="I528" s="258">
        <f>IF(ISNUMBER(G528),E528*G528,"")</f>
        <v>0.23939999999999997</v>
      </c>
      <c r="J528" s="281"/>
      <c r="K528" s="19"/>
      <c r="L528" s="174">
        <v>16.579999999999998</v>
      </c>
    </row>
    <row r="529" spans="1:12" x14ac:dyDescent="0.25">
      <c r="A529" s="291"/>
      <c r="B529" s="292"/>
      <c r="C529" s="105" t="s">
        <v>447</v>
      </c>
      <c r="D529" s="3" t="s">
        <v>208</v>
      </c>
      <c r="E529" s="250">
        <f>0.16+0.04</f>
        <v>0.2</v>
      </c>
      <c r="F529" s="176" t="s">
        <v>446</v>
      </c>
      <c r="G529" s="258">
        <v>26.12</v>
      </c>
      <c r="H529" s="176" t="s">
        <v>33</v>
      </c>
      <c r="I529" s="258">
        <f>IF(ISNUMBER(G529),E529*G529,"")</f>
        <v>5.2240000000000002</v>
      </c>
      <c r="J529" s="281"/>
      <c r="K529" s="19"/>
      <c r="L529" s="174">
        <v>16.579999999999998</v>
      </c>
    </row>
    <row r="530" spans="1:12" ht="15.75" thickBot="1" x14ac:dyDescent="0.3">
      <c r="A530" s="296"/>
      <c r="B530" s="297"/>
      <c r="C530" s="105"/>
      <c r="D530" s="105"/>
      <c r="E530" s="250"/>
      <c r="F530" s="176"/>
      <c r="G530" s="257" t="s">
        <v>1079</v>
      </c>
      <c r="H530" s="176"/>
      <c r="I530" s="257" t="str">
        <f>IF(ISNUMBER(G530),E530*G530,"")</f>
        <v/>
      </c>
      <c r="J530" s="281"/>
      <c r="K530" s="19"/>
      <c r="L530" s="174">
        <v>16.579999999999998</v>
      </c>
    </row>
    <row r="531" spans="1:12" ht="15.75" thickBot="1" x14ac:dyDescent="0.3">
      <c r="A531" s="288" t="s">
        <v>448</v>
      </c>
      <c r="B531" s="289" t="str">
        <f>INDEX(Orçamentária!A:B,MATCH(Composições!A531,Orçamentária!A:A,0),2)</f>
        <v>Pintura tinta látex acrílica standard (tetos)</v>
      </c>
      <c r="C531" s="274"/>
      <c r="D531" s="265" t="str">
        <f>TRIM(INDEX(Orçamentária!C:C,MATCH(Composições!A531,Orçamentária!A:A,0),1))</f>
        <v>m2</v>
      </c>
      <c r="E531" s="290"/>
      <c r="F531" s="259" t="s">
        <v>449</v>
      </c>
      <c r="G531" s="260" t="s">
        <v>1079</v>
      </c>
      <c r="H531" s="261"/>
      <c r="I531" s="261" t="str">
        <f>IF(ISNUMBER(G531),E531*G531,"")</f>
        <v/>
      </c>
      <c r="J531" s="280"/>
      <c r="K531" s="18"/>
      <c r="L531" s="174">
        <v>64</v>
      </c>
    </row>
    <row r="532" spans="1:12" x14ac:dyDescent="0.25">
      <c r="A532" s="291"/>
      <c r="B532" s="292"/>
      <c r="C532" s="155"/>
      <c r="D532" s="155"/>
      <c r="E532" s="293"/>
      <c r="F532" s="294"/>
      <c r="G532" s="262" t="s">
        <v>1079</v>
      </c>
      <c r="H532" s="155"/>
      <c r="I532" s="257" t="str">
        <f>IF(ISNUMBER(G532),E532*G532,"")</f>
        <v/>
      </c>
      <c r="J532" s="281"/>
      <c r="K532" s="19"/>
      <c r="L532" s="174">
        <v>64</v>
      </c>
    </row>
    <row r="533" spans="1:12" x14ac:dyDescent="0.25">
      <c r="A533" s="291"/>
      <c r="B533" s="292"/>
      <c r="C533" s="105" t="s">
        <v>205</v>
      </c>
      <c r="D533" s="271" t="s">
        <v>21</v>
      </c>
      <c r="E533" s="250">
        <v>0.24399999999999999</v>
      </c>
      <c r="F533" s="176" t="s">
        <v>449</v>
      </c>
      <c r="G533" s="257">
        <v>20.196999999999999</v>
      </c>
      <c r="H533" s="176" t="s">
        <v>206</v>
      </c>
      <c r="I533" s="258">
        <f>IF(ISNUMBER(G533),E533*G533,"")</f>
        <v>4.9280679999999997</v>
      </c>
      <c r="J533" s="295">
        <f>SUM(I533:I535)</f>
        <v>12.745826999999998</v>
      </c>
      <c r="K533" s="29"/>
      <c r="L533" s="174">
        <v>64</v>
      </c>
    </row>
    <row r="534" spans="1:12" x14ac:dyDescent="0.25">
      <c r="A534" s="291"/>
      <c r="B534" s="292"/>
      <c r="C534" s="105" t="s">
        <v>38</v>
      </c>
      <c r="D534" s="271" t="s">
        <v>21</v>
      </c>
      <c r="E534" s="250">
        <v>8.8999999999999996E-2</v>
      </c>
      <c r="F534" s="176" t="s">
        <v>449</v>
      </c>
      <c r="G534" s="257">
        <v>14.325999999999999</v>
      </c>
      <c r="H534" s="176" t="s">
        <v>39</v>
      </c>
      <c r="I534" s="258">
        <f>IF(ISNUMBER(G534),E534*G534,"")</f>
        <v>1.2750139999999999</v>
      </c>
      <c r="J534" s="281"/>
      <c r="K534" s="19"/>
      <c r="L534" s="174">
        <v>64</v>
      </c>
    </row>
    <row r="535" spans="1:12" x14ac:dyDescent="0.25">
      <c r="A535" s="291"/>
      <c r="B535" s="292"/>
      <c r="C535" s="105" t="s">
        <v>438</v>
      </c>
      <c r="D535" s="3" t="s">
        <v>208</v>
      </c>
      <c r="E535" s="250">
        <v>0.33</v>
      </c>
      <c r="F535" s="176" t="s">
        <v>449</v>
      </c>
      <c r="G535" s="258">
        <v>19.826499999999999</v>
      </c>
      <c r="H535" s="176" t="s">
        <v>439</v>
      </c>
      <c r="I535" s="258">
        <f>IF(ISNUMBER(G535),E535*G535,"")</f>
        <v>6.542745</v>
      </c>
      <c r="J535" s="281"/>
      <c r="K535" s="19"/>
      <c r="L535" s="174">
        <v>64</v>
      </c>
    </row>
    <row r="536" spans="1:12" ht="15.75" thickBot="1" x14ac:dyDescent="0.3">
      <c r="A536" s="296"/>
      <c r="B536" s="297"/>
      <c r="C536" s="105"/>
      <c r="D536" s="105"/>
      <c r="E536" s="250"/>
      <c r="F536" s="176"/>
      <c r="G536" s="257" t="s">
        <v>1079</v>
      </c>
      <c r="H536" s="176"/>
      <c r="I536" s="257" t="str">
        <f>IF(ISNUMBER(G536),E536*G536,"")</f>
        <v/>
      </c>
      <c r="J536" s="281"/>
      <c r="K536" s="19"/>
      <c r="L536" s="174">
        <v>64</v>
      </c>
    </row>
    <row r="537" spans="1:12" ht="15.75" thickBot="1" x14ac:dyDescent="0.3">
      <c r="A537" s="288" t="s">
        <v>450</v>
      </c>
      <c r="B537" s="289" t="str">
        <f>INDEX(Orçamentária!A:B,MATCH(Composições!A537,Orçamentária!A:A,0),2)</f>
        <v>Cerâmica para revestimento de superfícies internas ou externas – Linha Administrativa</v>
      </c>
      <c r="C537" s="274"/>
      <c r="D537" s="265" t="str">
        <f>TRIM(INDEX(Orçamentária!C:C,MATCH(Composições!A537,Orçamentária!A:A,0),1))</f>
        <v>m2</v>
      </c>
      <c r="E537" s="290"/>
      <c r="F537" s="259" t="s">
        <v>451</v>
      </c>
      <c r="G537" s="260" t="s">
        <v>1079</v>
      </c>
      <c r="H537" s="261"/>
      <c r="I537" s="261" t="str">
        <f>IF(ISNUMBER(G537),E537*G537,"")</f>
        <v/>
      </c>
      <c r="J537" s="280"/>
      <c r="K537" s="18"/>
      <c r="L537" s="174">
        <v>82</v>
      </c>
    </row>
    <row r="538" spans="1:12" x14ac:dyDescent="0.25">
      <c r="A538" s="291"/>
      <c r="B538" s="292"/>
      <c r="C538" s="155"/>
      <c r="D538" s="155"/>
      <c r="E538" s="293"/>
      <c r="F538" s="294"/>
      <c r="G538" s="262" t="s">
        <v>1079</v>
      </c>
      <c r="H538" s="155"/>
      <c r="I538" s="257" t="str">
        <f>IF(ISNUMBER(G538),E538*G538,"")</f>
        <v/>
      </c>
      <c r="J538" s="281"/>
      <c r="K538" s="19"/>
      <c r="L538" s="174">
        <v>82</v>
      </c>
    </row>
    <row r="539" spans="1:12" ht="25.5" x14ac:dyDescent="0.25">
      <c r="A539" s="291"/>
      <c r="B539" s="292"/>
      <c r="C539" s="105" t="s">
        <v>452</v>
      </c>
      <c r="D539" s="105" t="s">
        <v>189</v>
      </c>
      <c r="E539" s="250">
        <v>1.08</v>
      </c>
      <c r="F539" s="176" t="s">
        <v>453</v>
      </c>
      <c r="G539" s="258">
        <v>40.336999999999996</v>
      </c>
      <c r="H539" s="176" t="s">
        <v>454</v>
      </c>
      <c r="I539" s="258">
        <f>IF(ISNUMBER(G539),E539*G539,"")</f>
        <v>43.563960000000002</v>
      </c>
      <c r="J539" s="295">
        <f>SUM(I539:I543)</f>
        <v>66.515010000000004</v>
      </c>
      <c r="K539" s="29"/>
      <c r="L539" s="174">
        <v>82</v>
      </c>
    </row>
    <row r="540" spans="1:12" x14ac:dyDescent="0.25">
      <c r="A540" s="291"/>
      <c r="B540" s="292"/>
      <c r="C540" s="105" t="s">
        <v>455</v>
      </c>
      <c r="D540" s="105" t="s">
        <v>75</v>
      </c>
      <c r="E540" s="250">
        <v>6.14</v>
      </c>
      <c r="F540" s="176" t="s">
        <v>453</v>
      </c>
      <c r="G540" s="258">
        <v>0.76</v>
      </c>
      <c r="H540" s="176" t="s">
        <v>456</v>
      </c>
      <c r="I540" s="258">
        <f>IF(ISNUMBER(G540),E540*G540,"")</f>
        <v>4.6663999999999994</v>
      </c>
      <c r="J540" s="281"/>
      <c r="K540" s="19"/>
      <c r="L540" s="174">
        <v>82</v>
      </c>
    </row>
    <row r="541" spans="1:12" x14ac:dyDescent="0.25">
      <c r="A541" s="291"/>
      <c r="B541" s="292"/>
      <c r="C541" s="105" t="s">
        <v>457</v>
      </c>
      <c r="D541" s="105" t="s">
        <v>75</v>
      </c>
      <c r="E541" s="250">
        <v>0.22</v>
      </c>
      <c r="F541" s="176" t="s">
        <v>453</v>
      </c>
      <c r="G541" s="258">
        <v>2.4129999999999998</v>
      </c>
      <c r="H541" s="176" t="s">
        <v>458</v>
      </c>
      <c r="I541" s="258">
        <f>IF(ISNUMBER(G541),E541*G541,"")</f>
        <v>0.53086</v>
      </c>
      <c r="J541" s="281"/>
      <c r="K541" s="19"/>
      <c r="L541" s="174">
        <v>82</v>
      </c>
    </row>
    <row r="542" spans="1:12" x14ac:dyDescent="0.25">
      <c r="A542" s="291"/>
      <c r="B542" s="292"/>
      <c r="C542" s="105" t="s">
        <v>64</v>
      </c>
      <c r="D542" s="105" t="s">
        <v>21</v>
      </c>
      <c r="E542" s="250">
        <v>0.66</v>
      </c>
      <c r="F542" s="176" t="s">
        <v>453</v>
      </c>
      <c r="G542" s="257">
        <v>19.0855</v>
      </c>
      <c r="H542" s="176" t="s">
        <v>65</v>
      </c>
      <c r="I542" s="258">
        <f>IF(ISNUMBER(G542),E542*G542,"")</f>
        <v>12.59643</v>
      </c>
      <c r="J542" s="281"/>
      <c r="K542" s="19"/>
      <c r="L542" s="174">
        <v>82</v>
      </c>
    </row>
    <row r="543" spans="1:12" x14ac:dyDescent="0.25">
      <c r="A543" s="291"/>
      <c r="B543" s="292"/>
      <c r="C543" s="105" t="s">
        <v>38</v>
      </c>
      <c r="D543" s="105" t="s">
        <v>21</v>
      </c>
      <c r="E543" s="250">
        <v>0.36</v>
      </c>
      <c r="F543" s="176" t="s">
        <v>453</v>
      </c>
      <c r="G543" s="257">
        <v>14.325999999999999</v>
      </c>
      <c r="H543" s="176" t="s">
        <v>39</v>
      </c>
      <c r="I543" s="258">
        <f>IF(ISNUMBER(G543),E543*G543,"")</f>
        <v>5.1573599999999997</v>
      </c>
      <c r="J543" s="281"/>
      <c r="K543" s="19"/>
      <c r="L543" s="174">
        <v>82</v>
      </c>
    </row>
    <row r="544" spans="1:12" ht="15.75" thickBot="1" x14ac:dyDescent="0.3">
      <c r="A544" s="296"/>
      <c r="B544" s="297"/>
      <c r="C544" s="105"/>
      <c r="D544" s="105"/>
      <c r="E544" s="250"/>
      <c r="F544" s="176"/>
      <c r="G544" s="257" t="s">
        <v>1079</v>
      </c>
      <c r="H544" s="176"/>
      <c r="I544" s="257" t="str">
        <f>IF(ISNUMBER(G544),E544*G544,"")</f>
        <v/>
      </c>
      <c r="J544" s="281"/>
      <c r="K544" s="19"/>
      <c r="L544" s="174">
        <v>82</v>
      </c>
    </row>
    <row r="545" spans="1:12" ht="15.75" hidden="1" thickBot="1" x14ac:dyDescent="0.3">
      <c r="A545" s="180" t="s">
        <v>459</v>
      </c>
      <c r="B545" s="178" t="str">
        <f>INDEX(Orçamentária!A:B,MATCH(Composições!A545,Orçamentária!A:A,0),2)</f>
        <v>Contrapiso em argamassa</v>
      </c>
      <c r="C545" s="30"/>
      <c r="D545" s="13" t="str">
        <f>TRIM(INDEX(Orçamentária!C:C,MATCH(Composições!A545,Orçamentária!A:A,0),1))</f>
        <v>m2</v>
      </c>
      <c r="E545" s="14"/>
      <c r="F545" s="15" t="s">
        <v>460</v>
      </c>
      <c r="G545" s="31" t="s">
        <v>1079</v>
      </c>
      <c r="H545" s="16"/>
      <c r="I545" s="16" t="str">
        <f>IF(ISNUMBER(G545),E545*G545,"")</f>
        <v/>
      </c>
      <c r="J545" s="17"/>
      <c r="K545" s="18"/>
      <c r="L545" s="174">
        <v>0</v>
      </c>
    </row>
    <row r="546" spans="1:12" ht="15.75" hidden="1" thickBot="1" x14ac:dyDescent="0.3">
      <c r="A546" s="181"/>
      <c r="B546" s="179"/>
      <c r="C546" s="20"/>
      <c r="D546" s="20"/>
      <c r="E546" s="21"/>
      <c r="F546" s="22"/>
      <c r="G546" s="32" t="s">
        <v>1079</v>
      </c>
      <c r="H546" s="20"/>
      <c r="I546" s="19" t="str">
        <f>IF(ISNUMBER(G546),E546*G546,"")</f>
        <v/>
      </c>
      <c r="J546" s="24"/>
      <c r="K546" s="19"/>
      <c r="L546" s="174">
        <v>0</v>
      </c>
    </row>
    <row r="547" spans="1:12" ht="26.25" hidden="1" thickBot="1" x14ac:dyDescent="0.3">
      <c r="A547" s="181"/>
      <c r="B547" s="179"/>
      <c r="C547" s="25" t="s">
        <v>461</v>
      </c>
      <c r="D547" s="25" t="s">
        <v>228</v>
      </c>
      <c r="E547" s="26">
        <v>5.2999999999999999E-2</v>
      </c>
      <c r="F547" s="27" t="s">
        <v>462</v>
      </c>
      <c r="G547" s="23">
        <v>486.19594474999997</v>
      </c>
      <c r="H547" s="27" t="s">
        <v>463</v>
      </c>
      <c r="I547" s="23">
        <f>IF(ISNUMBER(G547),E547*G547,"")</f>
        <v>25.768385071749996</v>
      </c>
      <c r="J547" s="28">
        <f>SUM(I547:I551)</f>
        <v>40.387365071749997</v>
      </c>
      <c r="K547" s="29"/>
      <c r="L547" s="174">
        <v>0</v>
      </c>
    </row>
    <row r="548" spans="1:12" ht="15.75" hidden="1" thickBot="1" x14ac:dyDescent="0.3">
      <c r="A548" s="181"/>
      <c r="B548" s="179"/>
      <c r="C548" s="25" t="s">
        <v>36</v>
      </c>
      <c r="D548" s="25" t="s">
        <v>21</v>
      </c>
      <c r="E548" s="26">
        <v>0.36</v>
      </c>
      <c r="F548" s="27" t="s">
        <v>462</v>
      </c>
      <c r="G548" s="19">
        <v>19.142499999999998</v>
      </c>
      <c r="H548" s="27" t="s">
        <v>37</v>
      </c>
      <c r="I548" s="23">
        <f>IF(ISNUMBER(G548),E548*G548,"")</f>
        <v>6.8912999999999993</v>
      </c>
      <c r="J548" s="24"/>
      <c r="K548" s="19"/>
      <c r="L548" s="174">
        <v>0</v>
      </c>
    </row>
    <row r="549" spans="1:12" ht="15.75" hidden="1" thickBot="1" x14ac:dyDescent="0.3">
      <c r="A549" s="181"/>
      <c r="B549" s="179"/>
      <c r="C549" s="25" t="s">
        <v>38</v>
      </c>
      <c r="D549" s="25" t="s">
        <v>21</v>
      </c>
      <c r="E549" s="26">
        <v>0.18</v>
      </c>
      <c r="F549" s="27" t="s">
        <v>462</v>
      </c>
      <c r="G549" s="19">
        <v>14.325999999999999</v>
      </c>
      <c r="H549" s="27" t="s">
        <v>39</v>
      </c>
      <c r="I549" s="23">
        <f>IF(ISNUMBER(G549),E549*G549,"")</f>
        <v>2.5786799999999999</v>
      </c>
      <c r="J549" s="24"/>
      <c r="K549" s="19"/>
      <c r="L549" s="174">
        <v>0</v>
      </c>
    </row>
    <row r="550" spans="1:12" ht="15.75" hidden="1" thickBot="1" x14ac:dyDescent="0.3">
      <c r="A550" s="181"/>
      <c r="B550" s="179"/>
      <c r="C550" s="25" t="s">
        <v>241</v>
      </c>
      <c r="D550" s="36" t="s">
        <v>75</v>
      </c>
      <c r="E550" s="26">
        <v>0.5</v>
      </c>
      <c r="F550" s="27" t="s">
        <v>462</v>
      </c>
      <c r="G550" s="23">
        <v>0.38</v>
      </c>
      <c r="H550" s="27" t="s">
        <v>242</v>
      </c>
      <c r="I550" s="23">
        <f>IF(ISNUMBER(G550),E550*G550,"")</f>
        <v>0.19</v>
      </c>
      <c r="J550" s="24"/>
      <c r="K550" s="19"/>
      <c r="L550" s="174">
        <v>0</v>
      </c>
    </row>
    <row r="551" spans="1:12" ht="15.75" hidden="1" thickBot="1" x14ac:dyDescent="0.3">
      <c r="A551" s="181"/>
      <c r="B551" s="179"/>
      <c r="C551" s="25" t="s">
        <v>464</v>
      </c>
      <c r="D551" s="41" t="s">
        <v>208</v>
      </c>
      <c r="E551" s="26">
        <v>0.435</v>
      </c>
      <c r="F551" s="27" t="s">
        <v>462</v>
      </c>
      <c r="G551" s="23">
        <v>11.399999999999999</v>
      </c>
      <c r="H551" s="27" t="s">
        <v>465</v>
      </c>
      <c r="I551" s="23">
        <f>IF(ISNUMBER(G551),E551*G551,"")</f>
        <v>4.9589999999999996</v>
      </c>
      <c r="J551" s="24"/>
      <c r="K551" s="19"/>
      <c r="L551" s="174">
        <v>0</v>
      </c>
    </row>
    <row r="552" spans="1:12" ht="15.75" hidden="1" thickBot="1" x14ac:dyDescent="0.3">
      <c r="A552" s="182"/>
      <c r="B552" s="183"/>
      <c r="C552" s="25"/>
      <c r="D552" s="25"/>
      <c r="E552" s="26"/>
      <c r="F552" s="27"/>
      <c r="G552" s="19" t="s">
        <v>1079</v>
      </c>
      <c r="H552" s="27"/>
      <c r="I552" s="19" t="str">
        <f>IF(ISNUMBER(G552),E552*G552,"")</f>
        <v/>
      </c>
      <c r="J552" s="24"/>
      <c r="K552" s="19"/>
      <c r="L552" s="174">
        <v>0</v>
      </c>
    </row>
    <row r="553" spans="1:12" ht="15.75" thickBot="1" x14ac:dyDescent="0.3">
      <c r="A553" s="288" t="s">
        <v>466</v>
      </c>
      <c r="B553" s="289" t="str">
        <f>INDEX(Orçamentária!A:B,MATCH(Composições!A553,Orçamentária!A:A,0),2)</f>
        <v>Contrapiso em argamassa (e=2cm) ou Regularização de contrapiso existente</v>
      </c>
      <c r="C553" s="274"/>
      <c r="D553" s="265" t="str">
        <f>TRIM(INDEX(Orçamentária!C:C,MATCH(Composições!A553,Orçamentária!A:A,0),1))</f>
        <v>m2</v>
      </c>
      <c r="E553" s="290"/>
      <c r="F553" s="259" t="s">
        <v>467</v>
      </c>
      <c r="G553" s="260" t="s">
        <v>1079</v>
      </c>
      <c r="H553" s="261"/>
      <c r="I553" s="261" t="str">
        <f>IF(ISNUMBER(G553),E553*G553,"")</f>
        <v/>
      </c>
      <c r="J553" s="280"/>
      <c r="K553" s="18"/>
      <c r="L553" s="174">
        <v>54.04</v>
      </c>
    </row>
    <row r="554" spans="1:12" x14ac:dyDescent="0.25">
      <c r="A554" s="291"/>
      <c r="B554" s="292"/>
      <c r="C554" s="155"/>
      <c r="D554" s="155"/>
      <c r="E554" s="293"/>
      <c r="F554" s="294"/>
      <c r="G554" s="262" t="s">
        <v>1079</v>
      </c>
      <c r="H554" s="155"/>
      <c r="I554" s="257" t="str">
        <f>IF(ISNUMBER(G554),E554*G554,"")</f>
        <v/>
      </c>
      <c r="J554" s="281"/>
      <c r="K554" s="19"/>
      <c r="L554" s="174">
        <v>54.04</v>
      </c>
    </row>
    <row r="555" spans="1:12" x14ac:dyDescent="0.25">
      <c r="A555" s="291"/>
      <c r="B555" s="292"/>
      <c r="C555" s="105" t="s">
        <v>241</v>
      </c>
      <c r="D555" s="105" t="s">
        <v>75</v>
      </c>
      <c r="E555" s="250">
        <v>0.5</v>
      </c>
      <c r="F555" s="176" t="s">
        <v>468</v>
      </c>
      <c r="G555" s="258">
        <v>0.38</v>
      </c>
      <c r="H555" s="176" t="s">
        <v>242</v>
      </c>
      <c r="I555" s="258">
        <f>IF(ISNUMBER(G555),E555*G555,"")</f>
        <v>0.19</v>
      </c>
      <c r="J555" s="295">
        <f>SUM(I555:I559)</f>
        <v>27.849669287249995</v>
      </c>
      <c r="K555" s="29"/>
      <c r="L555" s="174">
        <v>54.04</v>
      </c>
    </row>
    <row r="556" spans="1:12" x14ac:dyDescent="0.25">
      <c r="A556" s="291"/>
      <c r="B556" s="292"/>
      <c r="C556" s="105" t="s">
        <v>464</v>
      </c>
      <c r="D556" s="3" t="s">
        <v>208</v>
      </c>
      <c r="E556" s="250">
        <v>0.435</v>
      </c>
      <c r="F556" s="176" t="s">
        <v>468</v>
      </c>
      <c r="G556" s="258">
        <v>11.399999999999999</v>
      </c>
      <c r="H556" s="176" t="s">
        <v>465</v>
      </c>
      <c r="I556" s="258">
        <f>IF(ISNUMBER(G556),E556*G556,"")</f>
        <v>4.9589999999999996</v>
      </c>
      <c r="J556" s="281"/>
      <c r="K556" s="19"/>
      <c r="L556" s="174">
        <v>54.04</v>
      </c>
    </row>
    <row r="557" spans="1:12" ht="25.5" x14ac:dyDescent="0.25">
      <c r="A557" s="291"/>
      <c r="B557" s="292"/>
      <c r="C557" s="105" t="s">
        <v>461</v>
      </c>
      <c r="D557" s="105" t="s">
        <v>228</v>
      </c>
      <c r="E557" s="250">
        <v>3.1E-2</v>
      </c>
      <c r="F557" s="176" t="s">
        <v>468</v>
      </c>
      <c r="G557" s="258">
        <v>486.19594474999997</v>
      </c>
      <c r="H557" s="176" t="s">
        <v>463</v>
      </c>
      <c r="I557" s="258">
        <f>IF(ISNUMBER(G557),E557*G557,"")</f>
        <v>15.072074287249999</v>
      </c>
      <c r="J557" s="281"/>
      <c r="K557" s="19"/>
      <c r="L557" s="174">
        <v>54.04</v>
      </c>
    </row>
    <row r="558" spans="1:12" x14ac:dyDescent="0.25">
      <c r="A558" s="291"/>
      <c r="B558" s="292"/>
      <c r="C558" s="105" t="s">
        <v>36</v>
      </c>
      <c r="D558" s="271" t="s">
        <v>21</v>
      </c>
      <c r="E558" s="250">
        <v>0.28999999999999998</v>
      </c>
      <c r="F558" s="176" t="s">
        <v>468</v>
      </c>
      <c r="G558" s="257">
        <v>19.142499999999998</v>
      </c>
      <c r="H558" s="176" t="s">
        <v>37</v>
      </c>
      <c r="I558" s="258">
        <f>IF(ISNUMBER(G558),E558*G558,"")</f>
        <v>5.5513249999999994</v>
      </c>
      <c r="J558" s="281"/>
      <c r="K558" s="19"/>
      <c r="L558" s="174">
        <v>54.04</v>
      </c>
    </row>
    <row r="559" spans="1:12" x14ac:dyDescent="0.25">
      <c r="A559" s="291"/>
      <c r="B559" s="292"/>
      <c r="C559" s="105" t="s">
        <v>38</v>
      </c>
      <c r="D559" s="271" t="s">
        <v>21</v>
      </c>
      <c r="E559" s="250">
        <v>0.14499999999999999</v>
      </c>
      <c r="F559" s="176" t="s">
        <v>468</v>
      </c>
      <c r="G559" s="257">
        <v>14.325999999999999</v>
      </c>
      <c r="H559" s="176" t="s">
        <v>39</v>
      </c>
      <c r="I559" s="258">
        <f>IF(ISNUMBER(G559),E559*G559,"")</f>
        <v>2.0772699999999995</v>
      </c>
      <c r="J559" s="281"/>
      <c r="K559" s="19"/>
      <c r="L559" s="174">
        <v>54.04</v>
      </c>
    </row>
    <row r="560" spans="1:12" ht="15.75" thickBot="1" x14ac:dyDescent="0.3">
      <c r="A560" s="296"/>
      <c r="B560" s="297"/>
      <c r="C560" s="105"/>
      <c r="D560" s="105"/>
      <c r="E560" s="250"/>
      <c r="F560" s="176"/>
      <c r="G560" s="257" t="s">
        <v>1079</v>
      </c>
      <c r="H560" s="176"/>
      <c r="I560" s="257" t="str">
        <f>IF(ISNUMBER(G560),E560*G560,"")</f>
        <v/>
      </c>
      <c r="J560" s="281"/>
      <c r="K560" s="19"/>
      <c r="L560" s="174">
        <v>54.04</v>
      </c>
    </row>
    <row r="561" spans="1:12" ht="15.75" hidden="1" thickBot="1" x14ac:dyDescent="0.3">
      <c r="A561" s="180" t="s">
        <v>469</v>
      </c>
      <c r="B561" s="178" t="str">
        <f>INDEX(Orçamentária!A:B,MATCH(Composições!A561,Orçamentária!A:A,0),2)</f>
        <v>Granito cinza andorinha para piso</v>
      </c>
      <c r="C561" s="30"/>
      <c r="D561" s="13" t="str">
        <f>TRIM(INDEX(Orçamentária!C:C,MATCH(Composições!A561,Orçamentária!A:A,0),1))</f>
        <v>m2</v>
      </c>
      <c r="E561" s="14"/>
      <c r="F561" s="15" t="s">
        <v>470</v>
      </c>
      <c r="G561" s="31" t="s">
        <v>1079</v>
      </c>
      <c r="H561" s="16"/>
      <c r="I561" s="16" t="str">
        <f>IF(ISNUMBER(G561),E561*G561,"")</f>
        <v/>
      </c>
      <c r="J561" s="17"/>
      <c r="K561" s="18"/>
      <c r="L561" s="174">
        <v>0</v>
      </c>
    </row>
    <row r="562" spans="1:12" ht="15.75" hidden="1" thickBot="1" x14ac:dyDescent="0.3">
      <c r="A562" s="181"/>
      <c r="B562" s="179"/>
      <c r="C562" s="20"/>
      <c r="D562" s="20"/>
      <c r="E562" s="21"/>
      <c r="F562" s="22"/>
      <c r="G562" s="32" t="s">
        <v>1079</v>
      </c>
      <c r="H562" s="20"/>
      <c r="I562" s="19" t="str">
        <f>IF(ISNUMBER(G562),E562*G562,"")</f>
        <v/>
      </c>
      <c r="J562" s="24"/>
      <c r="K562" s="19"/>
      <c r="L562" s="174">
        <v>0</v>
      </c>
    </row>
    <row r="563" spans="1:12" ht="15.75" hidden="1" thickBot="1" x14ac:dyDescent="0.3">
      <c r="A563" s="181"/>
      <c r="B563" s="179"/>
      <c r="C563" s="25" t="s">
        <v>471</v>
      </c>
      <c r="D563" s="25" t="s">
        <v>75</v>
      </c>
      <c r="E563" s="26">
        <v>8.6199999999999992</v>
      </c>
      <c r="F563" s="27" t="s">
        <v>472</v>
      </c>
      <c r="G563" s="23">
        <v>1.159</v>
      </c>
      <c r="H563" s="27" t="s">
        <v>473</v>
      </c>
      <c r="I563" s="23">
        <f>IF(ISNUMBER(G563),E563*G563,"")</f>
        <v>9.9905799999999996</v>
      </c>
      <c r="J563" s="28">
        <f>SUM(I563:I567)</f>
        <v>326.82127799999995</v>
      </c>
      <c r="K563" s="29"/>
      <c r="L563" s="174">
        <v>0</v>
      </c>
    </row>
    <row r="564" spans="1:12" ht="15.75" hidden="1" thickBot="1" x14ac:dyDescent="0.3">
      <c r="A564" s="181"/>
      <c r="B564" s="179"/>
      <c r="C564" s="25" t="s">
        <v>101</v>
      </c>
      <c r="D564" s="25" t="s">
        <v>21</v>
      </c>
      <c r="E564" s="26">
        <v>1.1879999999999999</v>
      </c>
      <c r="F564" s="27" t="s">
        <v>472</v>
      </c>
      <c r="G564" s="19">
        <v>16.093</v>
      </c>
      <c r="H564" s="27" t="s">
        <v>103</v>
      </c>
      <c r="I564" s="23">
        <f>IF(ISNUMBER(G564),E564*G564,"")</f>
        <v>19.118483999999999</v>
      </c>
      <c r="J564" s="24"/>
      <c r="K564" s="19"/>
      <c r="L564" s="174">
        <v>0</v>
      </c>
    </row>
    <row r="565" spans="1:12" ht="15.75" hidden="1" thickBot="1" x14ac:dyDescent="0.3">
      <c r="A565" s="181"/>
      <c r="B565" s="179"/>
      <c r="C565" s="25" t="s">
        <v>38</v>
      </c>
      <c r="D565" s="25" t="s">
        <v>21</v>
      </c>
      <c r="E565" s="26">
        <v>0.59399999999999997</v>
      </c>
      <c r="F565" s="27" t="s">
        <v>472</v>
      </c>
      <c r="G565" s="19">
        <v>14.325999999999999</v>
      </c>
      <c r="H565" s="27" t="s">
        <v>39</v>
      </c>
      <c r="I565" s="23">
        <f>IF(ISNUMBER(G565),E565*G565,"")</f>
        <v>8.509643999999998</v>
      </c>
      <c r="J565" s="24"/>
      <c r="K565" s="19"/>
      <c r="L565" s="174">
        <v>0</v>
      </c>
    </row>
    <row r="566" spans="1:12" ht="15.75" hidden="1" thickBot="1" x14ac:dyDescent="0.3">
      <c r="A566" s="181"/>
      <c r="B566" s="179"/>
      <c r="C566" s="25" t="s">
        <v>474</v>
      </c>
      <c r="D566" s="25" t="s">
        <v>75</v>
      </c>
      <c r="E566" s="26">
        <v>0.14000000000000001</v>
      </c>
      <c r="F566" s="27" t="s">
        <v>472</v>
      </c>
      <c r="G566" s="23">
        <v>2.1755</v>
      </c>
      <c r="H566" s="27" t="s">
        <v>475</v>
      </c>
      <c r="I566" s="23">
        <f>IF(ISNUMBER(G566),E566*G566,"")</f>
        <v>0.30457000000000001</v>
      </c>
      <c r="J566" s="24"/>
      <c r="K566" s="19"/>
      <c r="L566" s="174">
        <v>0</v>
      </c>
    </row>
    <row r="567" spans="1:12" ht="15.75" hidden="1" thickBot="1" x14ac:dyDescent="0.3">
      <c r="A567" s="181"/>
      <c r="B567" s="179"/>
      <c r="C567" s="25" t="s">
        <v>476</v>
      </c>
      <c r="D567" s="25" t="s">
        <v>189</v>
      </c>
      <c r="E567" s="26">
        <v>1.1599999999999999</v>
      </c>
      <c r="F567" s="27" t="s">
        <v>472</v>
      </c>
      <c r="G567" s="23">
        <v>249.05</v>
      </c>
      <c r="H567" s="27" t="s">
        <v>33</v>
      </c>
      <c r="I567" s="46">
        <f>IF(ISNUMBER(G567),E567*G567,"")</f>
        <v>288.89799999999997</v>
      </c>
      <c r="J567" s="24"/>
      <c r="K567" s="19"/>
      <c r="L567" s="174">
        <v>0</v>
      </c>
    </row>
    <row r="568" spans="1:12" ht="15.75" hidden="1" thickBot="1" x14ac:dyDescent="0.3">
      <c r="A568" s="182"/>
      <c r="B568" s="183"/>
      <c r="C568" s="25"/>
      <c r="D568" s="25"/>
      <c r="E568" s="26"/>
      <c r="F568" s="27"/>
      <c r="G568" s="19" t="s">
        <v>1079</v>
      </c>
      <c r="H568" s="27"/>
      <c r="I568" s="19" t="str">
        <f>IF(ISNUMBER(G568),E568*G568,"")</f>
        <v/>
      </c>
      <c r="J568" s="24"/>
      <c r="K568" s="19"/>
      <c r="L568" s="174">
        <v>0</v>
      </c>
    </row>
    <row r="569" spans="1:12" ht="15.75" hidden="1" thickBot="1" x14ac:dyDescent="0.3">
      <c r="A569" s="180" t="s">
        <v>477</v>
      </c>
      <c r="B569" s="178" t="str">
        <f>INDEX(Orçamentária!A:B,MATCH(Composições!A569,Orçamentária!A:A,0),2)</f>
        <v>Granito Cinza Andorinha para rodapé</v>
      </c>
      <c r="C569" s="30"/>
      <c r="D569" s="13" t="str">
        <f>TRIM(INDEX(Orçamentária!C:C,MATCH(Composições!A569,Orçamentária!A:A,0),1))</f>
        <v>m2</v>
      </c>
      <c r="E569" s="14"/>
      <c r="F569" s="15" t="s">
        <v>478</v>
      </c>
      <c r="G569" s="31" t="s">
        <v>1079</v>
      </c>
      <c r="H569" s="16"/>
      <c r="I569" s="16" t="str">
        <f>IF(ISNUMBER(G569),E569*G569,"")</f>
        <v/>
      </c>
      <c r="J569" s="17"/>
      <c r="K569" s="18"/>
      <c r="L569" s="174">
        <v>0</v>
      </c>
    </row>
    <row r="570" spans="1:12" ht="15.75" hidden="1" thickBot="1" x14ac:dyDescent="0.3">
      <c r="A570" s="181"/>
      <c r="B570" s="179"/>
      <c r="C570" s="20"/>
      <c r="D570" s="20"/>
      <c r="E570" s="21"/>
      <c r="F570" s="22"/>
      <c r="G570" s="32" t="s">
        <v>1079</v>
      </c>
      <c r="H570" s="20"/>
      <c r="I570" s="19" t="str">
        <f>IF(ISNUMBER(G570),E570*G570,"")</f>
        <v/>
      </c>
      <c r="J570" s="24"/>
      <c r="K570" s="19"/>
      <c r="L570" s="174">
        <v>0</v>
      </c>
    </row>
    <row r="571" spans="1:12" ht="26.25" hidden="1" thickBot="1" x14ac:dyDescent="0.3">
      <c r="A571" s="181"/>
      <c r="B571" s="179"/>
      <c r="C571" s="25" t="s">
        <v>479</v>
      </c>
      <c r="D571" s="25" t="s">
        <v>184</v>
      </c>
      <c r="E571" s="26">
        <f>ROUND(1.04/0.07,4)</f>
        <v>14.857100000000001</v>
      </c>
      <c r="F571" s="27" t="s">
        <v>478</v>
      </c>
      <c r="G571" s="23">
        <v>49.11</v>
      </c>
      <c r="H571" s="27" t="s">
        <v>33</v>
      </c>
      <c r="I571" s="23">
        <f>IF(ISNUMBER(G571),E571*G571,"")</f>
        <v>729.63218100000006</v>
      </c>
      <c r="J571" s="28">
        <f>SUM(I571:I575)</f>
        <v>811.83347700000002</v>
      </c>
      <c r="K571" s="29"/>
      <c r="L571" s="174">
        <v>0</v>
      </c>
    </row>
    <row r="572" spans="1:12" ht="15.75" hidden="1" thickBot="1" x14ac:dyDescent="0.3">
      <c r="A572" s="181"/>
      <c r="B572" s="179"/>
      <c r="C572" s="25" t="s">
        <v>471</v>
      </c>
      <c r="D572" s="25" t="s">
        <v>75</v>
      </c>
      <c r="E572" s="26">
        <f>ROUND(0.8614/0.1,4)</f>
        <v>8.6140000000000008</v>
      </c>
      <c r="F572" s="27" t="s">
        <v>478</v>
      </c>
      <c r="G572" s="23">
        <v>1.159</v>
      </c>
      <c r="H572" s="27" t="s">
        <v>473</v>
      </c>
      <c r="I572" s="23">
        <f>IF(ISNUMBER(G572),E572*G572,"")</f>
        <v>9.983626000000001</v>
      </c>
      <c r="J572" s="34"/>
      <c r="K572" s="35"/>
      <c r="L572" s="174">
        <v>0</v>
      </c>
    </row>
    <row r="573" spans="1:12" ht="15.75" hidden="1" thickBot="1" x14ac:dyDescent="0.3">
      <c r="A573" s="181"/>
      <c r="B573" s="179"/>
      <c r="C573" s="25" t="s">
        <v>101</v>
      </c>
      <c r="D573" s="25" t="s">
        <v>21</v>
      </c>
      <c r="E573" s="26">
        <f>0.299/0.1</f>
        <v>2.9899999999999998</v>
      </c>
      <c r="F573" s="27" t="s">
        <v>478</v>
      </c>
      <c r="G573" s="19">
        <v>16.093</v>
      </c>
      <c r="H573" s="27" t="s">
        <v>103</v>
      </c>
      <c r="I573" s="23">
        <f>IF(ISNUMBER(G573),E573*G573,"")</f>
        <v>48.118069999999996</v>
      </c>
      <c r="J573" s="24"/>
      <c r="K573" s="19"/>
      <c r="L573" s="174">
        <v>0</v>
      </c>
    </row>
    <row r="574" spans="1:12" ht="15.75" hidden="1" thickBot="1" x14ac:dyDescent="0.3">
      <c r="A574" s="181"/>
      <c r="B574" s="179"/>
      <c r="C574" s="25" t="s">
        <v>38</v>
      </c>
      <c r="D574" s="25" t="s">
        <v>21</v>
      </c>
      <c r="E574" s="26">
        <f>0.15/0.1</f>
        <v>1.4999999999999998</v>
      </c>
      <c r="F574" s="27" t="s">
        <v>478</v>
      </c>
      <c r="G574" s="19">
        <v>14.325999999999999</v>
      </c>
      <c r="H574" s="27" t="s">
        <v>39</v>
      </c>
      <c r="I574" s="23">
        <f>IF(ISNUMBER(G574),E574*G574,"")</f>
        <v>21.488999999999994</v>
      </c>
      <c r="J574" s="24"/>
      <c r="K574" s="19"/>
      <c r="L574" s="174">
        <v>0</v>
      </c>
    </row>
    <row r="575" spans="1:12" ht="15.75" hidden="1" thickBot="1" x14ac:dyDescent="0.3">
      <c r="A575" s="181"/>
      <c r="B575" s="179"/>
      <c r="C575" s="25" t="s">
        <v>474</v>
      </c>
      <c r="D575" s="25" t="s">
        <v>75</v>
      </c>
      <c r="E575" s="26">
        <f>0.12/0.1</f>
        <v>1.2</v>
      </c>
      <c r="F575" s="27" t="s">
        <v>478</v>
      </c>
      <c r="G575" s="23">
        <v>2.1755</v>
      </c>
      <c r="H575" s="27" t="s">
        <v>475</v>
      </c>
      <c r="I575" s="23">
        <f>IF(ISNUMBER(G575),E575*G575,"")</f>
        <v>2.6105999999999998</v>
      </c>
      <c r="J575" s="24"/>
      <c r="K575" s="19"/>
      <c r="L575" s="174">
        <v>0</v>
      </c>
    </row>
    <row r="576" spans="1:12" ht="15.75" hidden="1" thickBot="1" x14ac:dyDescent="0.3">
      <c r="A576" s="181"/>
      <c r="B576" s="179"/>
      <c r="C576" s="25"/>
      <c r="D576" s="25"/>
      <c r="E576" s="26"/>
      <c r="F576" s="27"/>
      <c r="G576" s="23" t="s">
        <v>1079</v>
      </c>
      <c r="H576" s="27"/>
      <c r="I576" s="23" t="str">
        <f>IF(ISNUMBER(G576),E576*G576,"")</f>
        <v/>
      </c>
      <c r="J576" s="24"/>
      <c r="K576" s="19"/>
      <c r="L576" s="174">
        <v>0</v>
      </c>
    </row>
    <row r="577" spans="1:12" ht="26.25" hidden="1" thickBot="1" x14ac:dyDescent="0.3">
      <c r="A577" s="181"/>
      <c r="B577" s="179"/>
      <c r="C577" s="39" t="s">
        <v>480</v>
      </c>
      <c r="D577" s="25"/>
      <c r="E577" s="26"/>
      <c r="F577" s="27"/>
      <c r="G577" s="23" t="s">
        <v>1079</v>
      </c>
      <c r="H577" s="27"/>
      <c r="I577" s="23" t="str">
        <f>IF(ISNUMBER(G577),E577*G577,"")</f>
        <v/>
      </c>
      <c r="J577" s="24"/>
      <c r="K577" s="19"/>
      <c r="L577" s="174">
        <v>0</v>
      </c>
    </row>
    <row r="578" spans="1:12" ht="15.75" hidden="1" thickBot="1" x14ac:dyDescent="0.3">
      <c r="A578" s="182"/>
      <c r="B578" s="183"/>
      <c r="C578" s="25"/>
      <c r="D578" s="25"/>
      <c r="E578" s="26"/>
      <c r="F578" s="27"/>
      <c r="G578" s="19" t="s">
        <v>1079</v>
      </c>
      <c r="H578" s="27"/>
      <c r="I578" s="19" t="str">
        <f>IF(ISNUMBER(G578),E578*G578,"")</f>
        <v/>
      </c>
      <c r="J578" s="24"/>
      <c r="K578" s="19"/>
      <c r="L578" s="174">
        <v>0</v>
      </c>
    </row>
    <row r="579" spans="1:12" ht="15.75" thickBot="1" x14ac:dyDescent="0.3">
      <c r="A579" s="288" t="s">
        <v>481</v>
      </c>
      <c r="B579" s="289" t="str">
        <f>INDEX(Orçamentária!A:B,MATCH(Composições!A579,Orçamentária!A:A,0),2)</f>
        <v>Granito Cinza Andorinha para soleira e peitoril</v>
      </c>
      <c r="C579" s="274"/>
      <c r="D579" s="265" t="str">
        <f>TRIM(INDEX(Orçamentária!C:C,MATCH(Composições!A579,Orçamentária!A:A,0),1))</f>
        <v>m2</v>
      </c>
      <c r="E579" s="290"/>
      <c r="F579" s="259" t="s">
        <v>482</v>
      </c>
      <c r="G579" s="260" t="s">
        <v>1079</v>
      </c>
      <c r="H579" s="261"/>
      <c r="I579" s="261" t="str">
        <f>IF(ISNUMBER(G579),E579*G579,"")</f>
        <v/>
      </c>
      <c r="J579" s="280"/>
      <c r="K579" s="18"/>
      <c r="L579" s="174">
        <v>0.47</v>
      </c>
    </row>
    <row r="580" spans="1:12" x14ac:dyDescent="0.25">
      <c r="A580" s="291"/>
      <c r="B580" s="292"/>
      <c r="C580" s="155"/>
      <c r="D580" s="155"/>
      <c r="E580" s="293"/>
      <c r="F580" s="294"/>
      <c r="G580" s="262" t="s">
        <v>1079</v>
      </c>
      <c r="H580" s="155"/>
      <c r="I580" s="257" t="str">
        <f>IF(ISNUMBER(G580),E580*G580,"")</f>
        <v/>
      </c>
      <c r="J580" s="281"/>
      <c r="K580" s="19"/>
      <c r="L580" s="174">
        <v>0.47</v>
      </c>
    </row>
    <row r="581" spans="1:12" ht="25.5" x14ac:dyDescent="0.25">
      <c r="A581" s="291"/>
      <c r="B581" s="292"/>
      <c r="C581" s="105" t="s">
        <v>483</v>
      </c>
      <c r="D581" s="105" t="s">
        <v>184</v>
      </c>
      <c r="E581" s="250">
        <f>ROUND(1/0.15,4)</f>
        <v>6.6666999999999996</v>
      </c>
      <c r="F581" s="176" t="s">
        <v>482</v>
      </c>
      <c r="G581" s="258">
        <v>46.48</v>
      </c>
      <c r="H581" s="176" t="s">
        <v>33</v>
      </c>
      <c r="I581" s="258">
        <f>IF(ISNUMBER(G581),E581*G581,"")</f>
        <v>309.86821599999996</v>
      </c>
      <c r="J581" s="295">
        <f>SUM(I581:I584)</f>
        <v>404.59527909999997</v>
      </c>
      <c r="K581" s="29"/>
      <c r="L581" s="174">
        <v>0.47</v>
      </c>
    </row>
    <row r="582" spans="1:12" x14ac:dyDescent="0.25">
      <c r="A582" s="291"/>
      <c r="B582" s="292"/>
      <c r="C582" s="105" t="s">
        <v>471</v>
      </c>
      <c r="D582" s="105" t="s">
        <v>75</v>
      </c>
      <c r="E582" s="250">
        <f>1.29/0.15</f>
        <v>8.6000000000000014</v>
      </c>
      <c r="F582" s="176" t="s">
        <v>482</v>
      </c>
      <c r="G582" s="258">
        <v>1.159</v>
      </c>
      <c r="H582" s="176" t="s">
        <v>473</v>
      </c>
      <c r="I582" s="258">
        <f>IF(ISNUMBER(G582),E582*G582,"")</f>
        <v>9.9674000000000014</v>
      </c>
      <c r="J582" s="281"/>
      <c r="K582" s="19"/>
      <c r="L582" s="174">
        <v>0.47</v>
      </c>
    </row>
    <row r="583" spans="1:12" x14ac:dyDescent="0.25">
      <c r="A583" s="291"/>
      <c r="B583" s="292"/>
      <c r="C583" s="105" t="s">
        <v>101</v>
      </c>
      <c r="D583" s="105" t="s">
        <v>21</v>
      </c>
      <c r="E583" s="250">
        <f>ROUND(0.547/0.15,4)</f>
        <v>3.6467000000000001</v>
      </c>
      <c r="F583" s="176" t="s">
        <v>482</v>
      </c>
      <c r="G583" s="257">
        <v>16.093</v>
      </c>
      <c r="H583" s="176" t="s">
        <v>103</v>
      </c>
      <c r="I583" s="258">
        <f>IF(ISNUMBER(G583),E583*G583,"")</f>
        <v>58.686343100000002</v>
      </c>
      <c r="J583" s="281"/>
      <c r="K583" s="19"/>
      <c r="L583" s="174">
        <v>0.47</v>
      </c>
    </row>
    <row r="584" spans="1:12" x14ac:dyDescent="0.25">
      <c r="A584" s="291"/>
      <c r="B584" s="292"/>
      <c r="C584" s="105" t="s">
        <v>38</v>
      </c>
      <c r="D584" s="105" t="s">
        <v>21</v>
      </c>
      <c r="E584" s="250">
        <f>ROUND(0.273/0.15,4)</f>
        <v>1.82</v>
      </c>
      <c r="F584" s="176" t="s">
        <v>482</v>
      </c>
      <c r="G584" s="257">
        <v>14.325999999999999</v>
      </c>
      <c r="H584" s="176" t="s">
        <v>39</v>
      </c>
      <c r="I584" s="258">
        <f>IF(ISNUMBER(G584),E584*G584,"")</f>
        <v>26.073319999999999</v>
      </c>
      <c r="J584" s="281"/>
      <c r="K584" s="19"/>
      <c r="L584" s="174">
        <v>0.47</v>
      </c>
    </row>
    <row r="585" spans="1:12" x14ac:dyDescent="0.25">
      <c r="A585" s="291"/>
      <c r="B585" s="292"/>
      <c r="C585" s="105"/>
      <c r="D585" s="105"/>
      <c r="E585" s="250"/>
      <c r="F585" s="176"/>
      <c r="G585" s="257" t="s">
        <v>1079</v>
      </c>
      <c r="H585" s="176"/>
      <c r="I585" s="258" t="str">
        <f>IF(ISNUMBER(G585),E585*G585,"")</f>
        <v/>
      </c>
      <c r="J585" s="281"/>
      <c r="K585" s="19"/>
      <c r="L585" s="174">
        <v>0.47</v>
      </c>
    </row>
    <row r="586" spans="1:12" ht="25.5" x14ac:dyDescent="0.25">
      <c r="A586" s="291"/>
      <c r="B586" s="292"/>
      <c r="C586" s="2" t="s">
        <v>484</v>
      </c>
      <c r="D586" s="105"/>
      <c r="E586" s="250"/>
      <c r="F586" s="176"/>
      <c r="G586" s="257" t="s">
        <v>1079</v>
      </c>
      <c r="H586" s="176"/>
      <c r="I586" s="258" t="str">
        <f>IF(ISNUMBER(G586),E586*G586,"")</f>
        <v/>
      </c>
      <c r="J586" s="281"/>
      <c r="K586" s="19"/>
      <c r="L586" s="174">
        <v>0.47</v>
      </c>
    </row>
    <row r="587" spans="1:12" ht="15.75" thickBot="1" x14ac:dyDescent="0.3">
      <c r="A587" s="296"/>
      <c r="B587" s="297"/>
      <c r="C587" s="105"/>
      <c r="D587" s="105"/>
      <c r="E587" s="250"/>
      <c r="F587" s="176"/>
      <c r="G587" s="257" t="s">
        <v>1079</v>
      </c>
      <c r="H587" s="176"/>
      <c r="I587" s="257" t="str">
        <f>IF(ISNUMBER(G587),E587*G587,"")</f>
        <v/>
      </c>
      <c r="J587" s="281"/>
      <c r="K587" s="19"/>
      <c r="L587" s="174">
        <v>0.47</v>
      </c>
    </row>
    <row r="588" spans="1:12" ht="15.75" hidden="1" thickBot="1" x14ac:dyDescent="0.3">
      <c r="A588" s="180" t="s">
        <v>485</v>
      </c>
      <c r="B588" s="178" t="str">
        <f>INDEX(Orçamentária!A:B,MATCH(Composições!A588,Orçamentária!A:A,0),2)</f>
        <v>Granito Preto São Gabriel para piso</v>
      </c>
      <c r="C588" s="30"/>
      <c r="D588" s="13" t="str">
        <f>TRIM(INDEX(Orçamentária!C:C,MATCH(Composições!A588,Orçamentária!A:A,0),1))</f>
        <v>m2</v>
      </c>
      <c r="E588" s="14"/>
      <c r="F588" s="15" t="s">
        <v>470</v>
      </c>
      <c r="G588" s="31" t="s">
        <v>1079</v>
      </c>
      <c r="H588" s="16"/>
      <c r="I588" s="16" t="str">
        <f>IF(ISNUMBER(G588),E588*G588,"")</f>
        <v/>
      </c>
      <c r="J588" s="17"/>
      <c r="K588" s="18"/>
      <c r="L588" s="174">
        <v>0</v>
      </c>
    </row>
    <row r="589" spans="1:12" ht="15.75" hidden="1" thickBot="1" x14ac:dyDescent="0.3">
      <c r="A589" s="181"/>
      <c r="B589" s="179"/>
      <c r="C589" s="20"/>
      <c r="D589" s="20"/>
      <c r="E589" s="21"/>
      <c r="F589" s="22"/>
      <c r="G589" s="32" t="s">
        <v>1079</v>
      </c>
      <c r="H589" s="20"/>
      <c r="I589" s="19" t="str">
        <f>IF(ISNUMBER(G589),E589*G589,"")</f>
        <v/>
      </c>
      <c r="J589" s="24"/>
      <c r="K589" s="19"/>
      <c r="L589" s="174">
        <v>0</v>
      </c>
    </row>
    <row r="590" spans="1:12" ht="15.75" hidden="1" thickBot="1" x14ac:dyDescent="0.3">
      <c r="A590" s="181"/>
      <c r="B590" s="179"/>
      <c r="C590" s="25" t="s">
        <v>471</v>
      </c>
      <c r="D590" s="25" t="s">
        <v>75</v>
      </c>
      <c r="E590" s="26">
        <v>8.6199999999999992</v>
      </c>
      <c r="F590" s="27" t="s">
        <v>472</v>
      </c>
      <c r="G590" s="23">
        <v>1.159</v>
      </c>
      <c r="H590" s="27" t="s">
        <v>473</v>
      </c>
      <c r="I590" s="23">
        <f>IF(ISNUMBER(G590),E590*G590,"")</f>
        <v>9.9905799999999996</v>
      </c>
      <c r="J590" s="28">
        <f>SUM(I590:I594)</f>
        <v>455.22167799999994</v>
      </c>
      <c r="K590" s="29"/>
      <c r="L590" s="174">
        <v>0</v>
      </c>
    </row>
    <row r="591" spans="1:12" ht="15.75" hidden="1" thickBot="1" x14ac:dyDescent="0.3">
      <c r="A591" s="181"/>
      <c r="B591" s="179"/>
      <c r="C591" s="25" t="s">
        <v>101</v>
      </c>
      <c r="D591" s="25" t="s">
        <v>21</v>
      </c>
      <c r="E591" s="26">
        <v>1.1879999999999999</v>
      </c>
      <c r="F591" s="27" t="s">
        <v>472</v>
      </c>
      <c r="G591" s="19">
        <v>16.093</v>
      </c>
      <c r="H591" s="27" t="s">
        <v>103</v>
      </c>
      <c r="I591" s="23">
        <f>IF(ISNUMBER(G591),E591*G591,"")</f>
        <v>19.118483999999999</v>
      </c>
      <c r="J591" s="24"/>
      <c r="K591" s="19"/>
      <c r="L591" s="174">
        <v>0</v>
      </c>
    </row>
    <row r="592" spans="1:12" ht="15.75" hidden="1" thickBot="1" x14ac:dyDescent="0.3">
      <c r="A592" s="181"/>
      <c r="B592" s="179"/>
      <c r="C592" s="25" t="s">
        <v>38</v>
      </c>
      <c r="D592" s="25" t="s">
        <v>21</v>
      </c>
      <c r="E592" s="26">
        <v>0.59399999999999997</v>
      </c>
      <c r="F592" s="27" t="s">
        <v>472</v>
      </c>
      <c r="G592" s="19">
        <v>14.325999999999999</v>
      </c>
      <c r="H592" s="27" t="s">
        <v>39</v>
      </c>
      <c r="I592" s="23">
        <f>IF(ISNUMBER(G592),E592*G592,"")</f>
        <v>8.509643999999998</v>
      </c>
      <c r="J592" s="24"/>
      <c r="K592" s="19"/>
      <c r="L592" s="174">
        <v>0</v>
      </c>
    </row>
    <row r="593" spans="1:12" ht="15.75" hidden="1" thickBot="1" x14ac:dyDescent="0.3">
      <c r="A593" s="181"/>
      <c r="B593" s="179"/>
      <c r="C593" s="25" t="s">
        <v>474</v>
      </c>
      <c r="D593" s="25" t="s">
        <v>75</v>
      </c>
      <c r="E593" s="26">
        <v>0.14000000000000001</v>
      </c>
      <c r="F593" s="27" t="s">
        <v>472</v>
      </c>
      <c r="G593" s="23">
        <v>2.1755</v>
      </c>
      <c r="H593" s="27" t="s">
        <v>475</v>
      </c>
      <c r="I593" s="23">
        <f>IF(ISNUMBER(G593),E593*G593,"")</f>
        <v>0.30457000000000001</v>
      </c>
      <c r="J593" s="24"/>
      <c r="K593" s="19"/>
      <c r="L593" s="174">
        <v>0</v>
      </c>
    </row>
    <row r="594" spans="1:12" ht="15.75" hidden="1" thickBot="1" x14ac:dyDescent="0.3">
      <c r="A594" s="181"/>
      <c r="B594" s="179"/>
      <c r="C594" s="25" t="s">
        <v>486</v>
      </c>
      <c r="D594" s="25" t="s">
        <v>189</v>
      </c>
      <c r="E594" s="26">
        <v>1.1599999999999999</v>
      </c>
      <c r="F594" s="27" t="s">
        <v>472</v>
      </c>
      <c r="G594" s="23">
        <v>359.74</v>
      </c>
      <c r="H594" s="27" t="s">
        <v>33</v>
      </c>
      <c r="I594" s="46">
        <f>IF(ISNUMBER(G594),E594*G594,"")</f>
        <v>417.29839999999996</v>
      </c>
      <c r="J594" s="24"/>
      <c r="K594" s="19"/>
      <c r="L594" s="174">
        <v>0</v>
      </c>
    </row>
    <row r="595" spans="1:12" ht="15.75" hidden="1" thickBot="1" x14ac:dyDescent="0.3">
      <c r="A595" s="182"/>
      <c r="B595" s="183"/>
      <c r="C595" s="25"/>
      <c r="D595" s="25"/>
      <c r="E595" s="26"/>
      <c r="F595" s="27"/>
      <c r="G595" s="19" t="s">
        <v>1079</v>
      </c>
      <c r="H595" s="27"/>
      <c r="I595" s="19" t="str">
        <f>IF(ISNUMBER(G595),E595*G595,"")</f>
        <v/>
      </c>
      <c r="J595" s="24"/>
      <c r="K595" s="19"/>
      <c r="L595" s="174">
        <v>0</v>
      </c>
    </row>
    <row r="596" spans="1:12" ht="15.75" hidden="1" thickBot="1" x14ac:dyDescent="0.3">
      <c r="A596" s="180" t="s">
        <v>487</v>
      </c>
      <c r="B596" s="178" t="str">
        <f>INDEX(Orçamentária!A:B,MATCH(Composições!A596,Orçamentária!A:A,0),2)</f>
        <v>Granito Preto São Gabriel para rodapé</v>
      </c>
      <c r="C596" s="30"/>
      <c r="D596" s="13" t="str">
        <f>TRIM(INDEX(Orçamentária!C:C,MATCH(Composições!A596,Orçamentária!A:A,0),1))</f>
        <v>m2</v>
      </c>
      <c r="E596" s="14"/>
      <c r="F596" s="15" t="s">
        <v>478</v>
      </c>
      <c r="G596" s="31" t="s">
        <v>1079</v>
      </c>
      <c r="H596" s="16"/>
      <c r="I596" s="16" t="str">
        <f>IF(ISNUMBER(G596),E596*G596,"")</f>
        <v/>
      </c>
      <c r="J596" s="17"/>
      <c r="K596" s="18"/>
      <c r="L596" s="174">
        <v>0</v>
      </c>
    </row>
    <row r="597" spans="1:12" ht="15.75" hidden="1" thickBot="1" x14ac:dyDescent="0.3">
      <c r="A597" s="181"/>
      <c r="B597" s="179"/>
      <c r="C597" s="20"/>
      <c r="D597" s="20"/>
      <c r="E597" s="21"/>
      <c r="F597" s="22"/>
      <c r="G597" s="32" t="s">
        <v>1079</v>
      </c>
      <c r="H597" s="20"/>
      <c r="I597" s="19" t="str">
        <f>IF(ISNUMBER(G597),E597*G597,"")</f>
        <v/>
      </c>
      <c r="J597" s="24"/>
      <c r="K597" s="19"/>
      <c r="L597" s="174">
        <v>0</v>
      </c>
    </row>
    <row r="598" spans="1:12" ht="26.25" hidden="1" thickBot="1" x14ac:dyDescent="0.3">
      <c r="A598" s="181"/>
      <c r="B598" s="179"/>
      <c r="C598" s="25" t="s">
        <v>488</v>
      </c>
      <c r="D598" s="25" t="s">
        <v>184</v>
      </c>
      <c r="E598" s="26">
        <f>ROUND(1.04/0.07,2)</f>
        <v>14.86</v>
      </c>
      <c r="F598" s="27" t="s">
        <v>478</v>
      </c>
      <c r="G598" s="23" t="s">
        <v>1079</v>
      </c>
      <c r="H598" s="27" t="s">
        <v>33</v>
      </c>
      <c r="I598" s="23" t="str">
        <f>IF(ISNUMBER(G598),E598*G598,"")</f>
        <v/>
      </c>
      <c r="J598" s="28">
        <f>SUM(I598:I602)</f>
        <v>82.201295999999999</v>
      </c>
      <c r="K598" s="29"/>
      <c r="L598" s="174">
        <v>0</v>
      </c>
    </row>
    <row r="599" spans="1:12" ht="15.75" hidden="1" thickBot="1" x14ac:dyDescent="0.3">
      <c r="A599" s="181"/>
      <c r="B599" s="179"/>
      <c r="C599" s="25" t="s">
        <v>471</v>
      </c>
      <c r="D599" s="25" t="s">
        <v>75</v>
      </c>
      <c r="E599" s="26">
        <f>ROUND(0.8614/0.1,4)</f>
        <v>8.6140000000000008</v>
      </c>
      <c r="F599" s="27" t="s">
        <v>478</v>
      </c>
      <c r="G599" s="23">
        <v>1.159</v>
      </c>
      <c r="H599" s="27" t="s">
        <v>473</v>
      </c>
      <c r="I599" s="23">
        <f>IF(ISNUMBER(G599),E599*G599,"")</f>
        <v>9.983626000000001</v>
      </c>
      <c r="J599" s="24"/>
      <c r="K599" s="19"/>
      <c r="L599" s="174">
        <v>0</v>
      </c>
    </row>
    <row r="600" spans="1:12" ht="15.75" hidden="1" thickBot="1" x14ac:dyDescent="0.3">
      <c r="A600" s="181"/>
      <c r="B600" s="179"/>
      <c r="C600" s="25" t="s">
        <v>101</v>
      </c>
      <c r="D600" s="25" t="s">
        <v>21</v>
      </c>
      <c r="E600" s="26">
        <f>0.299/0.1</f>
        <v>2.9899999999999998</v>
      </c>
      <c r="F600" s="27" t="s">
        <v>478</v>
      </c>
      <c r="G600" s="19">
        <v>16.093</v>
      </c>
      <c r="H600" s="27" t="s">
        <v>103</v>
      </c>
      <c r="I600" s="23">
        <f>IF(ISNUMBER(G600),E600*G600,"")</f>
        <v>48.118069999999996</v>
      </c>
      <c r="J600" s="24"/>
      <c r="K600" s="19"/>
      <c r="L600" s="174">
        <v>0</v>
      </c>
    </row>
    <row r="601" spans="1:12" ht="15.75" hidden="1" thickBot="1" x14ac:dyDescent="0.3">
      <c r="A601" s="181"/>
      <c r="B601" s="179"/>
      <c r="C601" s="25" t="s">
        <v>38</v>
      </c>
      <c r="D601" s="25" t="s">
        <v>21</v>
      </c>
      <c r="E601" s="26">
        <f>0.15/0.1</f>
        <v>1.4999999999999998</v>
      </c>
      <c r="F601" s="27" t="s">
        <v>478</v>
      </c>
      <c r="G601" s="19">
        <v>14.325999999999999</v>
      </c>
      <c r="H601" s="27" t="s">
        <v>39</v>
      </c>
      <c r="I601" s="23">
        <f>IF(ISNUMBER(G601),E601*G601,"")</f>
        <v>21.488999999999994</v>
      </c>
      <c r="J601" s="24"/>
      <c r="K601" s="19"/>
      <c r="L601" s="174">
        <v>0</v>
      </c>
    </row>
    <row r="602" spans="1:12" ht="15.75" hidden="1" thickBot="1" x14ac:dyDescent="0.3">
      <c r="A602" s="181"/>
      <c r="B602" s="179"/>
      <c r="C602" s="25" t="s">
        <v>474</v>
      </c>
      <c r="D602" s="25" t="s">
        <v>75</v>
      </c>
      <c r="E602" s="26">
        <f>0.12/0.1</f>
        <v>1.2</v>
      </c>
      <c r="F602" s="27" t="s">
        <v>478</v>
      </c>
      <c r="G602" s="23">
        <v>2.1755</v>
      </c>
      <c r="H602" s="27" t="s">
        <v>475</v>
      </c>
      <c r="I602" s="23">
        <f>IF(ISNUMBER(G602),E602*G602,"")</f>
        <v>2.6105999999999998</v>
      </c>
      <c r="J602" s="24"/>
      <c r="K602" s="19"/>
      <c r="L602" s="174">
        <v>0</v>
      </c>
    </row>
    <row r="603" spans="1:12" ht="15.75" hidden="1" thickBot="1" x14ac:dyDescent="0.3">
      <c r="A603" s="181"/>
      <c r="B603" s="179"/>
      <c r="C603" s="25"/>
      <c r="D603" s="25"/>
      <c r="E603" s="26"/>
      <c r="F603" s="27"/>
      <c r="G603" s="23" t="s">
        <v>1079</v>
      </c>
      <c r="H603" s="27"/>
      <c r="I603" s="23" t="str">
        <f>IF(ISNUMBER(G603),E603*G603,"")</f>
        <v/>
      </c>
      <c r="J603" s="24"/>
      <c r="K603" s="19"/>
      <c r="L603" s="174">
        <v>0</v>
      </c>
    </row>
    <row r="604" spans="1:12" ht="26.25" hidden="1" thickBot="1" x14ac:dyDescent="0.3">
      <c r="A604" s="181"/>
      <c r="B604" s="179"/>
      <c r="C604" s="39" t="s">
        <v>480</v>
      </c>
      <c r="D604" s="25"/>
      <c r="E604" s="26"/>
      <c r="F604" s="27"/>
      <c r="G604" s="23" t="s">
        <v>1079</v>
      </c>
      <c r="H604" s="27"/>
      <c r="I604" s="23" t="str">
        <f>IF(ISNUMBER(G604),E604*G604,"")</f>
        <v/>
      </c>
      <c r="J604" s="24"/>
      <c r="K604" s="19"/>
      <c r="L604" s="174">
        <v>0</v>
      </c>
    </row>
    <row r="605" spans="1:12" ht="15.75" hidden="1" thickBot="1" x14ac:dyDescent="0.3">
      <c r="A605" s="182"/>
      <c r="B605" s="183"/>
      <c r="C605" s="25"/>
      <c r="D605" s="25"/>
      <c r="E605" s="26"/>
      <c r="F605" s="27"/>
      <c r="G605" s="19" t="s">
        <v>1079</v>
      </c>
      <c r="H605" s="27"/>
      <c r="I605" s="19" t="str">
        <f>IF(ISNUMBER(G605),E605*G605,"")</f>
        <v/>
      </c>
      <c r="J605" s="24"/>
      <c r="K605" s="19"/>
      <c r="L605" s="174">
        <v>0</v>
      </c>
    </row>
    <row r="606" spans="1:12" ht="15.75" hidden="1" thickBot="1" x14ac:dyDescent="0.3">
      <c r="A606" s="180" t="s">
        <v>489</v>
      </c>
      <c r="B606" s="178" t="str">
        <f>INDEX(Orçamentária!A:B,MATCH(Composições!A606,Orçamentária!A:A,0),2)</f>
        <v>Granito Preto São Gabriel para soleira e peitoril</v>
      </c>
      <c r="C606" s="30"/>
      <c r="D606" s="13" t="str">
        <f>TRIM(INDEX(Orçamentária!C:C,MATCH(Composições!A606,Orçamentária!A:A,0),1))</f>
        <v>m2</v>
      </c>
      <c r="E606" s="14"/>
      <c r="F606" s="15" t="s">
        <v>482</v>
      </c>
      <c r="G606" s="31" t="s">
        <v>1079</v>
      </c>
      <c r="H606" s="16"/>
      <c r="I606" s="16" t="str">
        <f>IF(ISNUMBER(G606),E606*G606,"")</f>
        <v/>
      </c>
      <c r="J606" s="17"/>
      <c r="K606" s="18"/>
      <c r="L606" s="174">
        <v>0</v>
      </c>
    </row>
    <row r="607" spans="1:12" ht="15.75" hidden="1" thickBot="1" x14ac:dyDescent="0.3">
      <c r="A607" s="181"/>
      <c r="B607" s="179"/>
      <c r="C607" s="20"/>
      <c r="D607" s="20"/>
      <c r="E607" s="21"/>
      <c r="F607" s="22"/>
      <c r="G607" s="32" t="s">
        <v>1079</v>
      </c>
      <c r="H607" s="20"/>
      <c r="I607" s="19" t="str">
        <f>IF(ISNUMBER(G607),E607*G607,"")</f>
        <v/>
      </c>
      <c r="J607" s="24"/>
      <c r="K607" s="19"/>
      <c r="L607" s="174">
        <v>0</v>
      </c>
    </row>
    <row r="608" spans="1:12" ht="26.25" hidden="1" thickBot="1" x14ac:dyDescent="0.3">
      <c r="A608" s="181"/>
      <c r="B608" s="179"/>
      <c r="C608" s="25" t="s">
        <v>490</v>
      </c>
      <c r="D608" s="25" t="s">
        <v>184</v>
      </c>
      <c r="E608" s="26">
        <f>ROUND(1/0.15,4)</f>
        <v>6.6666999999999996</v>
      </c>
      <c r="F608" s="27" t="s">
        <v>482</v>
      </c>
      <c r="G608" s="23" t="s">
        <v>1079</v>
      </c>
      <c r="H608" s="27" t="s">
        <v>33</v>
      </c>
      <c r="I608" s="23" t="str">
        <f>IF(ISNUMBER(G608),E608*G608,"")</f>
        <v/>
      </c>
      <c r="J608" s="28">
        <f>SUM(I608:I611)</f>
        <v>94.727063099999995</v>
      </c>
      <c r="K608" s="29"/>
      <c r="L608" s="174">
        <v>0</v>
      </c>
    </row>
    <row r="609" spans="1:12" ht="15.75" hidden="1" thickBot="1" x14ac:dyDescent="0.3">
      <c r="A609" s="181"/>
      <c r="B609" s="179"/>
      <c r="C609" s="25" t="s">
        <v>471</v>
      </c>
      <c r="D609" s="25" t="s">
        <v>75</v>
      </c>
      <c r="E609" s="26">
        <f>ROUND(1.29/0.15,4)</f>
        <v>8.6</v>
      </c>
      <c r="F609" s="27" t="s">
        <v>482</v>
      </c>
      <c r="G609" s="23">
        <v>1.159</v>
      </c>
      <c r="H609" s="27" t="s">
        <v>473</v>
      </c>
      <c r="I609" s="23">
        <f>IF(ISNUMBER(G609),E609*G609,"")</f>
        <v>9.9673999999999996</v>
      </c>
      <c r="J609" s="24"/>
      <c r="K609" s="19"/>
      <c r="L609" s="174">
        <v>0</v>
      </c>
    </row>
    <row r="610" spans="1:12" ht="15.75" hidden="1" thickBot="1" x14ac:dyDescent="0.3">
      <c r="A610" s="181"/>
      <c r="B610" s="179"/>
      <c r="C610" s="25" t="s">
        <v>101</v>
      </c>
      <c r="D610" s="25" t="s">
        <v>21</v>
      </c>
      <c r="E610" s="26">
        <f>ROUND(0.547/0.15,4)</f>
        <v>3.6467000000000001</v>
      </c>
      <c r="F610" s="27" t="s">
        <v>482</v>
      </c>
      <c r="G610" s="19">
        <v>16.093</v>
      </c>
      <c r="H610" s="27" t="s">
        <v>103</v>
      </c>
      <c r="I610" s="23">
        <f>IF(ISNUMBER(G610),E610*G610,"")</f>
        <v>58.686343100000002</v>
      </c>
      <c r="J610" s="24"/>
      <c r="K610" s="19"/>
      <c r="L610" s="174">
        <v>0</v>
      </c>
    </row>
    <row r="611" spans="1:12" ht="15.75" hidden="1" thickBot="1" x14ac:dyDescent="0.3">
      <c r="A611" s="181"/>
      <c r="B611" s="179"/>
      <c r="C611" s="25" t="s">
        <v>38</v>
      </c>
      <c r="D611" s="25" t="s">
        <v>21</v>
      </c>
      <c r="E611" s="26">
        <f>ROUND(0.273/0.15,4)</f>
        <v>1.82</v>
      </c>
      <c r="F611" s="27" t="s">
        <v>482</v>
      </c>
      <c r="G611" s="19">
        <v>14.325999999999999</v>
      </c>
      <c r="H611" s="27" t="s">
        <v>39</v>
      </c>
      <c r="I611" s="23">
        <f>IF(ISNUMBER(G611),E611*G611,"")</f>
        <v>26.073319999999999</v>
      </c>
      <c r="J611" s="24"/>
      <c r="K611" s="19"/>
      <c r="L611" s="174">
        <v>0</v>
      </c>
    </row>
    <row r="612" spans="1:12" ht="15.75" hidden="1" thickBot="1" x14ac:dyDescent="0.3">
      <c r="A612" s="181"/>
      <c r="B612" s="179"/>
      <c r="C612" s="25"/>
      <c r="D612" s="25"/>
      <c r="E612" s="26"/>
      <c r="F612" s="27"/>
      <c r="G612" s="19" t="s">
        <v>1079</v>
      </c>
      <c r="H612" s="27"/>
      <c r="I612" s="23" t="str">
        <f>IF(ISNUMBER(G612),E612*G612,"")</f>
        <v/>
      </c>
      <c r="J612" s="24"/>
      <c r="K612" s="19"/>
      <c r="L612" s="174">
        <v>0</v>
      </c>
    </row>
    <row r="613" spans="1:12" ht="26.25" hidden="1" thickBot="1" x14ac:dyDescent="0.3">
      <c r="A613" s="181"/>
      <c r="B613" s="179"/>
      <c r="C613" s="39" t="s">
        <v>484</v>
      </c>
      <c r="D613" s="25"/>
      <c r="E613" s="26"/>
      <c r="F613" s="27"/>
      <c r="G613" s="19" t="s">
        <v>1079</v>
      </c>
      <c r="H613" s="27"/>
      <c r="I613" s="23" t="str">
        <f>IF(ISNUMBER(G613),E613*G613,"")</f>
        <v/>
      </c>
      <c r="J613" s="24"/>
      <c r="K613" s="19"/>
      <c r="L613" s="174">
        <v>0</v>
      </c>
    </row>
    <row r="614" spans="1:12" ht="15.75" hidden="1" thickBot="1" x14ac:dyDescent="0.3">
      <c r="A614" s="182"/>
      <c r="B614" s="183"/>
      <c r="C614" s="25"/>
      <c r="D614" s="25"/>
      <c r="E614" s="26"/>
      <c r="F614" s="27"/>
      <c r="G614" s="19" t="s">
        <v>1079</v>
      </c>
      <c r="H614" s="27"/>
      <c r="I614" s="19" t="str">
        <f>IF(ISNUMBER(G614),E614*G614,"")</f>
        <v/>
      </c>
      <c r="J614" s="24"/>
      <c r="K614" s="19"/>
      <c r="L614" s="174">
        <v>0</v>
      </c>
    </row>
    <row r="615" spans="1:12" ht="15.75" hidden="1" thickBot="1" x14ac:dyDescent="0.3">
      <c r="A615" s="180" t="s">
        <v>491</v>
      </c>
      <c r="B615" s="178" t="str">
        <f>INDEX(Orçamentária!A:B,MATCH(Composições!A615,Orçamentária!A:A,0),2)</f>
        <v>Instalação de rodapé de madeira reaproveitado</v>
      </c>
      <c r="C615" s="30"/>
      <c r="D615" s="13" t="str">
        <f>TRIM(INDEX(Orçamentária!C:C,MATCH(Composições!A615,Orçamentária!A:A,0),1))</f>
        <v>m</v>
      </c>
      <c r="E615" s="14"/>
      <c r="F615" s="15" t="s">
        <v>492</v>
      </c>
      <c r="G615" s="31" t="s">
        <v>1079</v>
      </c>
      <c r="H615" s="16"/>
      <c r="I615" s="16" t="str">
        <f>IF(ISNUMBER(G615),E615*G615,"")</f>
        <v/>
      </c>
      <c r="J615" s="17"/>
      <c r="K615" s="18"/>
      <c r="L615" s="174">
        <v>0</v>
      </c>
    </row>
    <row r="616" spans="1:12" ht="15.75" hidden="1" thickBot="1" x14ac:dyDescent="0.3">
      <c r="A616" s="181"/>
      <c r="B616" s="179"/>
      <c r="C616" s="20"/>
      <c r="D616" s="20"/>
      <c r="E616" s="21"/>
      <c r="F616" s="22"/>
      <c r="G616" s="32" t="s">
        <v>1079</v>
      </c>
      <c r="H616" s="20"/>
      <c r="I616" s="19" t="str">
        <f>IF(ISNUMBER(G616),E616*G616,"")</f>
        <v/>
      </c>
      <c r="J616" s="24"/>
      <c r="K616" s="19"/>
      <c r="L616" s="174">
        <v>0</v>
      </c>
    </row>
    <row r="617" spans="1:12" ht="15.75" hidden="1" thickBot="1" x14ac:dyDescent="0.3">
      <c r="A617" s="181"/>
      <c r="B617" s="179"/>
      <c r="C617" s="25" t="s">
        <v>493</v>
      </c>
      <c r="D617" s="25" t="s">
        <v>75</v>
      </c>
      <c r="E617" s="26">
        <v>0.04</v>
      </c>
      <c r="F617" s="27" t="s">
        <v>494</v>
      </c>
      <c r="G617" s="23">
        <v>29.117499999999996</v>
      </c>
      <c r="H617" s="27" t="s">
        <v>495</v>
      </c>
      <c r="I617" s="23">
        <f>IF(ISNUMBER(G617),E617*G617,"")</f>
        <v>1.1646999999999998</v>
      </c>
      <c r="J617" s="28">
        <f>SUM(I617:I619)</f>
        <v>6.5540500000000002</v>
      </c>
      <c r="K617" s="29"/>
      <c r="L617" s="174">
        <v>0</v>
      </c>
    </row>
    <row r="618" spans="1:12" ht="15.75" hidden="1" thickBot="1" x14ac:dyDescent="0.3">
      <c r="A618" s="181"/>
      <c r="B618" s="179"/>
      <c r="C618" s="25" t="s">
        <v>92</v>
      </c>
      <c r="D618" s="25" t="s">
        <v>21</v>
      </c>
      <c r="E618" s="26">
        <v>0.15</v>
      </c>
      <c r="F618" s="27" t="s">
        <v>494</v>
      </c>
      <c r="G618" s="19">
        <v>16.881499999999999</v>
      </c>
      <c r="H618" s="27" t="s">
        <v>93</v>
      </c>
      <c r="I618" s="23">
        <f>IF(ISNUMBER(G618),E618*G618,"")</f>
        <v>2.5322249999999999</v>
      </c>
      <c r="J618" s="24"/>
      <c r="K618" s="19"/>
      <c r="L618" s="174">
        <v>0</v>
      </c>
    </row>
    <row r="619" spans="1:12" ht="15.75" hidden="1" thickBot="1" x14ac:dyDescent="0.3">
      <c r="A619" s="181"/>
      <c r="B619" s="179"/>
      <c r="C619" s="25" t="s">
        <v>79</v>
      </c>
      <c r="D619" s="25" t="s">
        <v>21</v>
      </c>
      <c r="E619" s="26">
        <v>0.15</v>
      </c>
      <c r="F619" s="27" t="s">
        <v>494</v>
      </c>
      <c r="G619" s="19">
        <v>19.047499999999999</v>
      </c>
      <c r="H619" s="27" t="s">
        <v>81</v>
      </c>
      <c r="I619" s="23">
        <f>IF(ISNUMBER(G619),E619*G619,"")</f>
        <v>2.8571249999999999</v>
      </c>
      <c r="J619" s="24"/>
      <c r="K619" s="19"/>
      <c r="L619" s="174">
        <v>0</v>
      </c>
    </row>
    <row r="620" spans="1:12" ht="15.75" hidden="1" thickBot="1" x14ac:dyDescent="0.3">
      <c r="A620" s="181"/>
      <c r="B620" s="179"/>
      <c r="C620" s="25"/>
      <c r="D620" s="25"/>
      <c r="E620" s="26"/>
      <c r="F620" s="27"/>
      <c r="G620" s="19" t="s">
        <v>1079</v>
      </c>
      <c r="H620" s="27"/>
      <c r="I620" s="19" t="str">
        <f>IF(ISNUMBER(G620),E620*G620,"")</f>
        <v/>
      </c>
      <c r="J620" s="24"/>
      <c r="K620" s="19"/>
      <c r="L620" s="174">
        <v>0</v>
      </c>
    </row>
    <row r="621" spans="1:12" ht="15.75" hidden="1" thickBot="1" x14ac:dyDescent="0.3">
      <c r="A621" s="180" t="s">
        <v>496</v>
      </c>
      <c r="B621" s="178" t="str">
        <f>INDEX(Orçamentária!A:B,MATCH(Composições!A621,Orçamentária!A:A,0),2)</f>
        <v>Mármore Bege Bahia para piso e parede</v>
      </c>
      <c r="C621" s="30"/>
      <c r="D621" s="13" t="str">
        <f>TRIM(INDEX(Orçamentária!C:C,MATCH(Composições!A621,Orçamentária!A:A,0),1))</f>
        <v>m2</v>
      </c>
      <c r="E621" s="14"/>
      <c r="F621" s="15" t="s">
        <v>470</v>
      </c>
      <c r="G621" s="31" t="s">
        <v>1079</v>
      </c>
      <c r="H621" s="16"/>
      <c r="I621" s="16" t="str">
        <f>IF(ISNUMBER(G621),E621*G621,"")</f>
        <v/>
      </c>
      <c r="J621" s="17"/>
      <c r="K621" s="18"/>
      <c r="L621" s="174">
        <v>0</v>
      </c>
    </row>
    <row r="622" spans="1:12" ht="15.75" hidden="1" thickBot="1" x14ac:dyDescent="0.3">
      <c r="A622" s="181"/>
      <c r="B622" s="179"/>
      <c r="C622" s="20"/>
      <c r="D622" s="20"/>
      <c r="E622" s="21"/>
      <c r="F622" s="22"/>
      <c r="G622" s="32" t="s">
        <v>1079</v>
      </c>
      <c r="H622" s="20"/>
      <c r="I622" s="19" t="str">
        <f>IF(ISNUMBER(G622),E622*G622,"")</f>
        <v/>
      </c>
      <c r="J622" s="24"/>
      <c r="K622" s="19"/>
      <c r="L622" s="174">
        <v>0</v>
      </c>
    </row>
    <row r="623" spans="1:12" ht="15.75" hidden="1" thickBot="1" x14ac:dyDescent="0.3">
      <c r="A623" s="181"/>
      <c r="B623" s="179"/>
      <c r="C623" s="25" t="s">
        <v>471</v>
      </c>
      <c r="D623" s="25" t="s">
        <v>75</v>
      </c>
      <c r="E623" s="26">
        <v>8.6199999999999992</v>
      </c>
      <c r="F623" s="27" t="s">
        <v>472</v>
      </c>
      <c r="G623" s="23">
        <v>1.159</v>
      </c>
      <c r="H623" s="27" t="s">
        <v>473</v>
      </c>
      <c r="I623" s="23">
        <f>IF(ISNUMBER(G623),E623*G623,"")</f>
        <v>9.9905799999999996</v>
      </c>
      <c r="J623" s="28">
        <f>SUM(I623:I627)</f>
        <v>37.923277999999996</v>
      </c>
      <c r="K623" s="29"/>
      <c r="L623" s="174">
        <v>0</v>
      </c>
    </row>
    <row r="624" spans="1:12" ht="15.75" hidden="1" thickBot="1" x14ac:dyDescent="0.3">
      <c r="A624" s="181"/>
      <c r="B624" s="179"/>
      <c r="C624" s="25" t="s">
        <v>101</v>
      </c>
      <c r="D624" s="25" t="s">
        <v>21</v>
      </c>
      <c r="E624" s="26">
        <v>1.1879999999999999</v>
      </c>
      <c r="F624" s="27" t="s">
        <v>472</v>
      </c>
      <c r="G624" s="19">
        <v>16.093</v>
      </c>
      <c r="H624" s="27" t="s">
        <v>103</v>
      </c>
      <c r="I624" s="23">
        <f>IF(ISNUMBER(G624),E624*G624,"")</f>
        <v>19.118483999999999</v>
      </c>
      <c r="J624" s="24"/>
      <c r="K624" s="19"/>
      <c r="L624" s="174">
        <v>0</v>
      </c>
    </row>
    <row r="625" spans="1:12" ht="15.75" hidden="1" thickBot="1" x14ac:dyDescent="0.3">
      <c r="A625" s="181"/>
      <c r="B625" s="179"/>
      <c r="C625" s="25" t="s">
        <v>38</v>
      </c>
      <c r="D625" s="25" t="s">
        <v>21</v>
      </c>
      <c r="E625" s="26">
        <v>0.59399999999999997</v>
      </c>
      <c r="F625" s="27" t="s">
        <v>472</v>
      </c>
      <c r="G625" s="19">
        <v>14.325999999999999</v>
      </c>
      <c r="H625" s="27" t="s">
        <v>39</v>
      </c>
      <c r="I625" s="23">
        <f>IF(ISNUMBER(G625),E625*G625,"")</f>
        <v>8.509643999999998</v>
      </c>
      <c r="J625" s="24"/>
      <c r="K625" s="19"/>
      <c r="L625" s="174">
        <v>0</v>
      </c>
    </row>
    <row r="626" spans="1:12" ht="15.75" hidden="1" thickBot="1" x14ac:dyDescent="0.3">
      <c r="A626" s="181"/>
      <c r="B626" s="179"/>
      <c r="C626" s="25" t="s">
        <v>474</v>
      </c>
      <c r="D626" s="25" t="s">
        <v>75</v>
      </c>
      <c r="E626" s="26">
        <v>0.14000000000000001</v>
      </c>
      <c r="F626" s="27" t="s">
        <v>472</v>
      </c>
      <c r="G626" s="23">
        <v>2.1755</v>
      </c>
      <c r="H626" s="27" t="s">
        <v>475</v>
      </c>
      <c r="I626" s="23">
        <f>IF(ISNUMBER(G626),E626*G626,"")</f>
        <v>0.30457000000000001</v>
      </c>
      <c r="J626" s="24"/>
      <c r="K626" s="19"/>
      <c r="L626" s="174">
        <v>0</v>
      </c>
    </row>
    <row r="627" spans="1:12" ht="15.75" hidden="1" thickBot="1" x14ac:dyDescent="0.3">
      <c r="A627" s="181"/>
      <c r="B627" s="179"/>
      <c r="C627" s="25" t="s">
        <v>497</v>
      </c>
      <c r="D627" s="25" t="s">
        <v>189</v>
      </c>
      <c r="E627" s="26">
        <v>1.1599999999999999</v>
      </c>
      <c r="F627" s="27" t="s">
        <v>472</v>
      </c>
      <c r="G627" s="23" t="s">
        <v>1079</v>
      </c>
      <c r="H627" s="27" t="s">
        <v>33</v>
      </c>
      <c r="I627" s="46" t="str">
        <f>IF(ISNUMBER(G627),E627*G627,"")</f>
        <v/>
      </c>
      <c r="J627" s="24"/>
      <c r="K627" s="19"/>
      <c r="L627" s="174">
        <v>0</v>
      </c>
    </row>
    <row r="628" spans="1:12" ht="15.75" hidden="1" thickBot="1" x14ac:dyDescent="0.3">
      <c r="A628" s="182"/>
      <c r="B628" s="183"/>
      <c r="C628" s="25"/>
      <c r="D628" s="25"/>
      <c r="E628" s="26"/>
      <c r="F628" s="27"/>
      <c r="G628" s="19" t="s">
        <v>1079</v>
      </c>
      <c r="H628" s="27"/>
      <c r="I628" s="19" t="str">
        <f>IF(ISNUMBER(G628),E628*G628,"")</f>
        <v/>
      </c>
      <c r="J628" s="24"/>
      <c r="K628" s="19"/>
      <c r="L628" s="174">
        <v>0</v>
      </c>
    </row>
    <row r="629" spans="1:12" ht="15.75" hidden="1" thickBot="1" x14ac:dyDescent="0.3">
      <c r="A629" s="180" t="s">
        <v>498</v>
      </c>
      <c r="B629" s="178" t="str">
        <f>INDEX(Orçamentária!A:B,MATCH(Composições!A629,Orçamentária!A:A,0),2)</f>
        <v>Mármore Branco Especial para piso e parede</v>
      </c>
      <c r="C629" s="30"/>
      <c r="D629" s="13" t="str">
        <f>TRIM(INDEX(Orçamentária!C:C,MATCH(Composições!A629,Orçamentária!A:A,0),1))</f>
        <v>m2</v>
      </c>
      <c r="E629" s="14"/>
      <c r="F629" s="15" t="s">
        <v>499</v>
      </c>
      <c r="G629" s="31" t="s">
        <v>1079</v>
      </c>
      <c r="H629" s="16"/>
      <c r="I629" s="16" t="str">
        <f>IF(ISNUMBER(G629),E629*G629,"")</f>
        <v/>
      </c>
      <c r="J629" s="17"/>
      <c r="K629" s="18"/>
      <c r="L629" s="174">
        <v>0</v>
      </c>
    </row>
    <row r="630" spans="1:12" ht="15.75" hidden="1" thickBot="1" x14ac:dyDescent="0.3">
      <c r="A630" s="181"/>
      <c r="B630" s="179"/>
      <c r="C630" s="20"/>
      <c r="D630" s="20"/>
      <c r="E630" s="21"/>
      <c r="F630" s="22"/>
      <c r="G630" s="32" t="s">
        <v>1079</v>
      </c>
      <c r="H630" s="20"/>
      <c r="I630" s="19" t="str">
        <f>IF(ISNUMBER(G630),E630*G630,"")</f>
        <v/>
      </c>
      <c r="J630" s="24"/>
      <c r="K630" s="19"/>
      <c r="L630" s="174">
        <v>0</v>
      </c>
    </row>
    <row r="631" spans="1:12" ht="15.75" hidden="1" thickBot="1" x14ac:dyDescent="0.3">
      <c r="A631" s="181"/>
      <c r="B631" s="179"/>
      <c r="C631" s="25" t="s">
        <v>471</v>
      </c>
      <c r="D631" s="25" t="s">
        <v>75</v>
      </c>
      <c r="E631" s="26">
        <v>8.6199999999999992</v>
      </c>
      <c r="F631" s="27" t="s">
        <v>500</v>
      </c>
      <c r="G631" s="23">
        <v>1.159</v>
      </c>
      <c r="H631" s="27" t="s">
        <v>473</v>
      </c>
      <c r="I631" s="23">
        <f>IF(ISNUMBER(G631),E631*G631,"")</f>
        <v>9.9905799999999996</v>
      </c>
      <c r="J631" s="28">
        <f>SUM(I631:I635)</f>
        <v>37.923277999999996</v>
      </c>
      <c r="K631" s="29"/>
      <c r="L631" s="174">
        <v>0</v>
      </c>
    </row>
    <row r="632" spans="1:12" ht="15.75" hidden="1" thickBot="1" x14ac:dyDescent="0.3">
      <c r="A632" s="181"/>
      <c r="B632" s="179"/>
      <c r="C632" s="25" t="s">
        <v>101</v>
      </c>
      <c r="D632" s="25" t="s">
        <v>21</v>
      </c>
      <c r="E632" s="26">
        <v>1.1879999999999999</v>
      </c>
      <c r="F632" s="27" t="s">
        <v>500</v>
      </c>
      <c r="G632" s="19">
        <v>16.093</v>
      </c>
      <c r="H632" s="27" t="s">
        <v>103</v>
      </c>
      <c r="I632" s="23">
        <f>IF(ISNUMBER(G632),E632*G632,"")</f>
        <v>19.118483999999999</v>
      </c>
      <c r="J632" s="24"/>
      <c r="K632" s="19"/>
      <c r="L632" s="174">
        <v>0</v>
      </c>
    </row>
    <row r="633" spans="1:12" ht="15.75" hidden="1" thickBot="1" x14ac:dyDescent="0.3">
      <c r="A633" s="181"/>
      <c r="B633" s="179"/>
      <c r="C633" s="25" t="s">
        <v>38</v>
      </c>
      <c r="D633" s="25" t="s">
        <v>21</v>
      </c>
      <c r="E633" s="26">
        <v>0.59399999999999997</v>
      </c>
      <c r="F633" s="27" t="s">
        <v>500</v>
      </c>
      <c r="G633" s="19">
        <v>14.325999999999999</v>
      </c>
      <c r="H633" s="27" t="s">
        <v>39</v>
      </c>
      <c r="I633" s="23">
        <f>IF(ISNUMBER(G633),E633*G633,"")</f>
        <v>8.509643999999998</v>
      </c>
      <c r="J633" s="24"/>
      <c r="K633" s="19"/>
      <c r="L633" s="174">
        <v>0</v>
      </c>
    </row>
    <row r="634" spans="1:12" ht="15.75" hidden="1" thickBot="1" x14ac:dyDescent="0.3">
      <c r="A634" s="181"/>
      <c r="B634" s="179"/>
      <c r="C634" s="25" t="s">
        <v>474</v>
      </c>
      <c r="D634" s="25" t="s">
        <v>75</v>
      </c>
      <c r="E634" s="26">
        <v>0.14000000000000001</v>
      </c>
      <c r="F634" s="27" t="s">
        <v>500</v>
      </c>
      <c r="G634" s="23">
        <v>2.1755</v>
      </c>
      <c r="H634" s="27" t="s">
        <v>475</v>
      </c>
      <c r="I634" s="23">
        <f>IF(ISNUMBER(G634),E634*G634,"")</f>
        <v>0.30457000000000001</v>
      </c>
      <c r="J634" s="24"/>
      <c r="K634" s="19"/>
      <c r="L634" s="174">
        <v>0</v>
      </c>
    </row>
    <row r="635" spans="1:12" ht="15.75" hidden="1" thickBot="1" x14ac:dyDescent="0.3">
      <c r="A635" s="181"/>
      <c r="B635" s="179"/>
      <c r="C635" s="25" t="s">
        <v>501</v>
      </c>
      <c r="D635" s="25" t="s">
        <v>189</v>
      </c>
      <c r="E635" s="26">
        <v>1.1599999999999999</v>
      </c>
      <c r="F635" s="27" t="s">
        <v>500</v>
      </c>
      <c r="G635" s="23" t="s">
        <v>1079</v>
      </c>
      <c r="H635" s="27" t="s">
        <v>33</v>
      </c>
      <c r="I635" s="46" t="str">
        <f>IF(ISNUMBER(G635),E635*G635,"")</f>
        <v/>
      </c>
      <c r="J635" s="24"/>
      <c r="K635" s="19"/>
      <c r="L635" s="174">
        <v>0</v>
      </c>
    </row>
    <row r="636" spans="1:12" ht="15.75" hidden="1" thickBot="1" x14ac:dyDescent="0.3">
      <c r="A636" s="182"/>
      <c r="B636" s="183"/>
      <c r="C636" s="25"/>
      <c r="D636" s="25"/>
      <c r="E636" s="26"/>
      <c r="F636" s="27"/>
      <c r="G636" s="19" t="s">
        <v>1079</v>
      </c>
      <c r="H636" s="27"/>
      <c r="I636" s="19" t="str">
        <f>IF(ISNUMBER(G636),E636*G636,"")</f>
        <v/>
      </c>
      <c r="J636" s="24"/>
      <c r="K636" s="19"/>
      <c r="L636" s="174">
        <v>0</v>
      </c>
    </row>
    <row r="637" spans="1:12" ht="15.75" hidden="1" thickBot="1" x14ac:dyDescent="0.3">
      <c r="A637" s="180" t="s">
        <v>502</v>
      </c>
      <c r="B637" s="178" t="str">
        <f>INDEX(Orçamentária!A:B,MATCH(Composições!A637,Orçamentária!A:A,0),2)</f>
        <v>Rodapé de madeira</v>
      </c>
      <c r="C637" s="30"/>
      <c r="D637" s="13" t="str">
        <f>TRIM(INDEX(Orçamentária!C:C,MATCH(Composições!A637,Orçamentária!A:A,0),1))</f>
        <v>m</v>
      </c>
      <c r="E637" s="14"/>
      <c r="F637" s="15" t="s">
        <v>494</v>
      </c>
      <c r="G637" s="31" t="s">
        <v>1079</v>
      </c>
      <c r="H637" s="16"/>
      <c r="I637" s="16" t="str">
        <f>IF(ISNUMBER(G637),E637*G637,"")</f>
        <v/>
      </c>
      <c r="J637" s="17"/>
      <c r="K637" s="18"/>
      <c r="L637" s="174">
        <v>0</v>
      </c>
    </row>
    <row r="638" spans="1:12" ht="15.75" hidden="1" thickBot="1" x14ac:dyDescent="0.3">
      <c r="A638" s="181"/>
      <c r="B638" s="179"/>
      <c r="C638" s="20"/>
      <c r="D638" s="20"/>
      <c r="E638" s="21"/>
      <c r="F638" s="22"/>
      <c r="G638" s="32" t="s">
        <v>1079</v>
      </c>
      <c r="H638" s="20"/>
      <c r="I638" s="19" t="str">
        <f>IF(ISNUMBER(G638),E638*G638,"")</f>
        <v/>
      </c>
      <c r="J638" s="24"/>
      <c r="K638" s="19"/>
      <c r="L638" s="174">
        <v>0</v>
      </c>
    </row>
    <row r="639" spans="1:12" ht="15.75" hidden="1" thickBot="1" x14ac:dyDescent="0.3">
      <c r="A639" s="181"/>
      <c r="B639" s="179"/>
      <c r="C639" s="25" t="s">
        <v>92</v>
      </c>
      <c r="D639" s="36" t="s">
        <v>21</v>
      </c>
      <c r="E639" s="26">
        <v>0.15</v>
      </c>
      <c r="F639" s="27" t="s">
        <v>494</v>
      </c>
      <c r="G639" s="19">
        <v>16.881499999999999</v>
      </c>
      <c r="H639" s="27" t="s">
        <v>93</v>
      </c>
      <c r="I639" s="23">
        <f>IF(ISNUMBER(G639),E639*G639,"")</f>
        <v>2.5322249999999999</v>
      </c>
      <c r="J639" s="28">
        <f>SUM(I639:I642)</f>
        <v>16.466255</v>
      </c>
      <c r="K639" s="29"/>
      <c r="L639" s="174">
        <v>0</v>
      </c>
    </row>
    <row r="640" spans="1:12" ht="15.75" hidden="1" thickBot="1" x14ac:dyDescent="0.3">
      <c r="A640" s="181"/>
      <c r="B640" s="179"/>
      <c r="C640" s="25" t="s">
        <v>79</v>
      </c>
      <c r="D640" s="36" t="s">
        <v>21</v>
      </c>
      <c r="E640" s="26">
        <v>0.15</v>
      </c>
      <c r="F640" s="27" t="s">
        <v>494</v>
      </c>
      <c r="G640" s="19">
        <v>19.047499999999999</v>
      </c>
      <c r="H640" s="27" t="s">
        <v>81</v>
      </c>
      <c r="I640" s="23">
        <f>IF(ISNUMBER(G640),E640*G640,"")</f>
        <v>2.8571249999999999</v>
      </c>
      <c r="J640" s="24"/>
      <c r="K640" s="19"/>
      <c r="L640" s="174">
        <v>0</v>
      </c>
    </row>
    <row r="641" spans="1:12" ht="15.75" hidden="1" thickBot="1" x14ac:dyDescent="0.3">
      <c r="A641" s="181"/>
      <c r="B641" s="179"/>
      <c r="C641" s="25" t="s">
        <v>503</v>
      </c>
      <c r="D641" s="36" t="s">
        <v>75</v>
      </c>
      <c r="E641" s="26">
        <v>0.04</v>
      </c>
      <c r="F641" s="27" t="s">
        <v>494</v>
      </c>
      <c r="G641" s="23">
        <v>29.117499999999996</v>
      </c>
      <c r="H641" s="27" t="s">
        <v>495</v>
      </c>
      <c r="I641" s="23">
        <f>IF(ISNUMBER(G641),E641*G641,"")</f>
        <v>1.1646999999999998</v>
      </c>
      <c r="J641" s="24"/>
      <c r="K641" s="19"/>
      <c r="L641" s="174">
        <v>0</v>
      </c>
    </row>
    <row r="642" spans="1:12" ht="26.25" hidden="1" thickBot="1" x14ac:dyDescent="0.3">
      <c r="A642" s="181"/>
      <c r="B642" s="179"/>
      <c r="C642" s="25" t="s">
        <v>504</v>
      </c>
      <c r="D642" s="36" t="s">
        <v>184</v>
      </c>
      <c r="E642" s="26">
        <v>1.03</v>
      </c>
      <c r="F642" s="27" t="s">
        <v>494</v>
      </c>
      <c r="G642" s="23">
        <v>9.6234999999999999</v>
      </c>
      <c r="H642" s="27" t="s">
        <v>505</v>
      </c>
      <c r="I642" s="23">
        <f>IF(ISNUMBER(G642),E642*G642,"")</f>
        <v>9.9122050000000002</v>
      </c>
      <c r="J642" s="24"/>
      <c r="K642" s="19"/>
      <c r="L642" s="174">
        <v>0</v>
      </c>
    </row>
    <row r="643" spans="1:12" ht="15.75" hidden="1" thickBot="1" x14ac:dyDescent="0.3">
      <c r="A643" s="182"/>
      <c r="B643" s="183"/>
      <c r="C643" s="25"/>
      <c r="D643" s="25"/>
      <c r="E643" s="26"/>
      <c r="F643" s="27"/>
      <c r="G643" s="19" t="s">
        <v>1079</v>
      </c>
      <c r="H643" s="27"/>
      <c r="I643" s="19" t="str">
        <f>IF(ISNUMBER(G643),E643*G643,"")</f>
        <v/>
      </c>
      <c r="J643" s="24"/>
      <c r="K643" s="19"/>
      <c r="L643" s="174">
        <v>0</v>
      </c>
    </row>
    <row r="644" spans="1:12" ht="15.75" hidden="1" thickBot="1" x14ac:dyDescent="0.3">
      <c r="A644" s="180" t="s">
        <v>506</v>
      </c>
      <c r="B644" s="178" t="str">
        <f>INDEX(Orçamentária!A:B,MATCH(Composições!A644,Orçamentária!A:A,0),2)</f>
        <v>Acabamento abaulado em placas de granito ou mármore reaproveitadas</v>
      </c>
      <c r="C644" s="30"/>
      <c r="D644" s="13" t="str">
        <f>TRIM(INDEX(Orçamentária!C:C,MATCH(Composições!A644,Orçamentária!A:A,0),1))</f>
        <v>m</v>
      </c>
      <c r="E644" s="14"/>
      <c r="F644" s="15" t="s">
        <v>17</v>
      </c>
      <c r="G644" s="31" t="s">
        <v>1079</v>
      </c>
      <c r="H644" s="16"/>
      <c r="I644" s="16" t="str">
        <f>IF(ISNUMBER(G644),E644*G644,"")</f>
        <v/>
      </c>
      <c r="J644" s="17"/>
      <c r="K644" s="18"/>
      <c r="L644" s="174">
        <v>0</v>
      </c>
    </row>
    <row r="645" spans="1:12" ht="15.75" hidden="1" thickBot="1" x14ac:dyDescent="0.3">
      <c r="A645" s="181"/>
      <c r="B645" s="179"/>
      <c r="C645" s="20"/>
      <c r="D645" s="20"/>
      <c r="E645" s="21"/>
      <c r="F645" s="22"/>
      <c r="G645" s="32" t="s">
        <v>1079</v>
      </c>
      <c r="H645" s="20"/>
      <c r="I645" s="19" t="str">
        <f>IF(ISNUMBER(G645),E645*G645,"")</f>
        <v/>
      </c>
      <c r="J645" s="24"/>
      <c r="K645" s="19"/>
      <c r="L645" s="174">
        <v>0</v>
      </c>
    </row>
    <row r="646" spans="1:12" ht="15.75" hidden="1" thickBot="1" x14ac:dyDescent="0.3">
      <c r="A646" s="181"/>
      <c r="B646" s="179"/>
      <c r="C646" s="25" t="s">
        <v>101</v>
      </c>
      <c r="D646" s="36" t="s">
        <v>21</v>
      </c>
      <c r="E646" s="26">
        <v>2</v>
      </c>
      <c r="F646" s="27" t="s">
        <v>17</v>
      </c>
      <c r="G646" s="19">
        <v>16.093</v>
      </c>
      <c r="H646" s="27" t="s">
        <v>103</v>
      </c>
      <c r="I646" s="23">
        <f>IF(ISNUMBER(G646),E646*G646,"")</f>
        <v>32.186</v>
      </c>
      <c r="J646" s="28">
        <f>SUM(I646:I646)</f>
        <v>32.186</v>
      </c>
      <c r="K646" s="29"/>
      <c r="L646" s="174">
        <v>0</v>
      </c>
    </row>
    <row r="647" spans="1:12" ht="15.75" hidden="1" thickBot="1" x14ac:dyDescent="0.3">
      <c r="A647" s="182"/>
      <c r="B647" s="183"/>
      <c r="C647" s="47"/>
      <c r="D647" s="25"/>
      <c r="E647" s="26"/>
      <c r="F647" s="27"/>
      <c r="G647" s="19" t="s">
        <v>1079</v>
      </c>
      <c r="H647" s="27"/>
      <c r="I647" s="19" t="str">
        <f>IF(ISNUMBER(G647),E647*G647,"")</f>
        <v/>
      </c>
      <c r="J647" s="24"/>
      <c r="K647" s="19"/>
      <c r="L647" s="174">
        <v>0</v>
      </c>
    </row>
    <row r="648" spans="1:12" ht="15.75" thickBot="1" x14ac:dyDescent="0.3">
      <c r="A648" s="288" t="s">
        <v>507</v>
      </c>
      <c r="B648" s="289" t="str">
        <f>INDEX(Orçamentária!A:B,MATCH(Composições!A648,Orçamentária!A:A,0),2)</f>
        <v>Acabamento em meia esquadria em placas de granito ou mármore reaproveitadas</v>
      </c>
      <c r="C648" s="274"/>
      <c r="D648" s="265" t="str">
        <f>TRIM(INDEX(Orçamentária!C:C,MATCH(Composições!A648,Orçamentária!A:A,0),1))</f>
        <v>m</v>
      </c>
      <c r="E648" s="290"/>
      <c r="F648" s="259" t="s">
        <v>17</v>
      </c>
      <c r="G648" s="260" t="s">
        <v>1079</v>
      </c>
      <c r="H648" s="261"/>
      <c r="I648" s="261" t="str">
        <f>IF(ISNUMBER(G648),E648*G648,"")</f>
        <v/>
      </c>
      <c r="J648" s="280"/>
      <c r="K648" s="18"/>
      <c r="L648" s="174">
        <v>2.8</v>
      </c>
    </row>
    <row r="649" spans="1:12" x14ac:dyDescent="0.25">
      <c r="A649" s="291"/>
      <c r="B649" s="292"/>
      <c r="C649" s="155"/>
      <c r="D649" s="155"/>
      <c r="E649" s="293"/>
      <c r="F649" s="294"/>
      <c r="G649" s="262" t="s">
        <v>1079</v>
      </c>
      <c r="H649" s="155"/>
      <c r="I649" s="257" t="str">
        <f>IF(ISNUMBER(G649),E649*G649,"")</f>
        <v/>
      </c>
      <c r="J649" s="281"/>
      <c r="K649" s="19"/>
      <c r="L649" s="174">
        <v>2.8</v>
      </c>
    </row>
    <row r="650" spans="1:12" x14ac:dyDescent="0.25">
      <c r="A650" s="291"/>
      <c r="B650" s="292"/>
      <c r="C650" s="105" t="s">
        <v>101</v>
      </c>
      <c r="D650" s="271" t="s">
        <v>21</v>
      </c>
      <c r="E650" s="250">
        <v>1.75</v>
      </c>
      <c r="F650" s="176" t="s">
        <v>17</v>
      </c>
      <c r="G650" s="257">
        <v>16.093</v>
      </c>
      <c r="H650" s="176" t="s">
        <v>103</v>
      </c>
      <c r="I650" s="258">
        <f>IF(ISNUMBER(G650),E650*G650,"")</f>
        <v>28.162749999999999</v>
      </c>
      <c r="J650" s="295">
        <f>SUM(I650:I650)</f>
        <v>28.162749999999999</v>
      </c>
      <c r="K650" s="29"/>
      <c r="L650" s="174">
        <v>2.8</v>
      </c>
    </row>
    <row r="651" spans="1:12" ht="15.75" thickBot="1" x14ac:dyDescent="0.3">
      <c r="A651" s="296"/>
      <c r="B651" s="297"/>
      <c r="C651" s="275"/>
      <c r="D651" s="105"/>
      <c r="E651" s="250"/>
      <c r="F651" s="176"/>
      <c r="G651" s="257" t="s">
        <v>1079</v>
      </c>
      <c r="H651" s="176"/>
      <c r="I651" s="257" t="str">
        <f>IF(ISNUMBER(G651),E651*G651,"")</f>
        <v/>
      </c>
      <c r="J651" s="281"/>
      <c r="K651" s="19"/>
      <c r="L651" s="174">
        <v>2.8</v>
      </c>
    </row>
    <row r="652" spans="1:12" ht="15.75" hidden="1" thickBot="1" x14ac:dyDescent="0.3">
      <c r="A652" s="180" t="s">
        <v>508</v>
      </c>
      <c r="B652" s="178" t="str">
        <f>INDEX(Orçamentária!A:B,MATCH(Composições!A652,Orçamentária!A:A,0),2)</f>
        <v>Acabamento reto em placas de granito ou mármore reaproveitadas</v>
      </c>
      <c r="C652" s="30"/>
      <c r="D652" s="13" t="str">
        <f>TRIM(INDEX(Orçamentária!C:C,MATCH(Composições!A652,Orçamentária!A:A,0),1))</f>
        <v>m</v>
      </c>
      <c r="E652" s="14"/>
      <c r="F652" s="15" t="s">
        <v>17</v>
      </c>
      <c r="G652" s="31" t="s">
        <v>1079</v>
      </c>
      <c r="H652" s="16"/>
      <c r="I652" s="16" t="str">
        <f>IF(ISNUMBER(G652),E652*G652,"")</f>
        <v/>
      </c>
      <c r="J652" s="17"/>
      <c r="K652" s="18"/>
      <c r="L652" s="174">
        <v>0</v>
      </c>
    </row>
    <row r="653" spans="1:12" ht="15.75" hidden="1" thickBot="1" x14ac:dyDescent="0.3">
      <c r="A653" s="181"/>
      <c r="B653" s="179"/>
      <c r="C653" s="20"/>
      <c r="D653" s="20"/>
      <c r="E653" s="21"/>
      <c r="F653" s="22"/>
      <c r="G653" s="32" t="s">
        <v>1079</v>
      </c>
      <c r="H653" s="20"/>
      <c r="I653" s="19" t="str">
        <f>IF(ISNUMBER(G653),E653*G653,"")</f>
        <v/>
      </c>
      <c r="J653" s="24"/>
      <c r="K653" s="19"/>
      <c r="L653" s="174">
        <v>0</v>
      </c>
    </row>
    <row r="654" spans="1:12" ht="15.75" hidden="1" thickBot="1" x14ac:dyDescent="0.3">
      <c r="A654" s="181"/>
      <c r="B654" s="179"/>
      <c r="C654" s="25" t="s">
        <v>101</v>
      </c>
      <c r="D654" s="36" t="s">
        <v>21</v>
      </c>
      <c r="E654" s="26">
        <v>1</v>
      </c>
      <c r="F654" s="27" t="s">
        <v>17</v>
      </c>
      <c r="G654" s="19">
        <v>16.093</v>
      </c>
      <c r="H654" s="27" t="s">
        <v>103</v>
      </c>
      <c r="I654" s="23">
        <f>IF(ISNUMBER(G654),E654*G654,"")</f>
        <v>16.093</v>
      </c>
      <c r="J654" s="28">
        <f>SUM(I654:I654)</f>
        <v>16.093</v>
      </c>
      <c r="K654" s="29"/>
      <c r="L654" s="174">
        <v>0</v>
      </c>
    </row>
    <row r="655" spans="1:12" ht="15.75" hidden="1" thickBot="1" x14ac:dyDescent="0.3">
      <c r="A655" s="182"/>
      <c r="B655" s="183"/>
      <c r="C655" s="47"/>
      <c r="D655" s="25"/>
      <c r="E655" s="26"/>
      <c r="F655" s="27"/>
      <c r="G655" s="19" t="s">
        <v>1079</v>
      </c>
      <c r="H655" s="27"/>
      <c r="I655" s="19" t="str">
        <f>IF(ISNUMBER(G655),E655*G655,"")</f>
        <v/>
      </c>
      <c r="J655" s="24"/>
      <c r="K655" s="19"/>
      <c r="L655" s="174">
        <v>0</v>
      </c>
    </row>
    <row r="656" spans="1:12" ht="15.75" hidden="1" thickBot="1" x14ac:dyDescent="0.3">
      <c r="A656" s="180" t="s">
        <v>509</v>
      </c>
      <c r="B656" s="178" t="str">
        <f>INDEX(Orçamentária!A:B,MATCH(Composições!A656,Orçamentária!A:A,0),2)</f>
        <v>Corte de peça de granito ou mármore reaproveitada</v>
      </c>
      <c r="C656" s="30"/>
      <c r="D656" s="13" t="str">
        <f>TRIM(INDEX(Orçamentária!C:C,MATCH(Composições!A656,Orçamentária!A:A,0),1))</f>
        <v>m</v>
      </c>
      <c r="E656" s="14"/>
      <c r="F656" s="15" t="str">
        <f>F658</f>
        <v>Senado Federal</v>
      </c>
      <c r="G656" s="31" t="s">
        <v>1079</v>
      </c>
      <c r="H656" s="16"/>
      <c r="I656" s="16" t="str">
        <f>IF(ISNUMBER(G656),E656*G656,"")</f>
        <v/>
      </c>
      <c r="J656" s="17"/>
      <c r="K656" s="18"/>
      <c r="L656" s="174">
        <v>0</v>
      </c>
    </row>
    <row r="657" spans="1:12" ht="15.75" hidden="1" thickBot="1" x14ac:dyDescent="0.3">
      <c r="A657" s="181"/>
      <c r="B657" s="179"/>
      <c r="C657" s="20"/>
      <c r="D657" s="20"/>
      <c r="E657" s="21"/>
      <c r="F657" s="22"/>
      <c r="G657" s="32" t="s">
        <v>1079</v>
      </c>
      <c r="H657" s="20"/>
      <c r="I657" s="19" t="str">
        <f>IF(ISNUMBER(G657),E657*G657,"")</f>
        <v/>
      </c>
      <c r="J657" s="24"/>
      <c r="K657" s="19"/>
      <c r="L657" s="174">
        <v>0</v>
      </c>
    </row>
    <row r="658" spans="1:12" ht="15.75" hidden="1" thickBot="1" x14ac:dyDescent="0.3">
      <c r="A658" s="181"/>
      <c r="B658" s="179"/>
      <c r="C658" s="25" t="s">
        <v>101</v>
      </c>
      <c r="D658" s="36" t="s">
        <v>21</v>
      </c>
      <c r="E658" s="26">
        <v>1.25</v>
      </c>
      <c r="F658" s="27" t="s">
        <v>17</v>
      </c>
      <c r="G658" s="19">
        <v>16.093</v>
      </c>
      <c r="H658" s="27" t="s">
        <v>103</v>
      </c>
      <c r="I658" s="23">
        <f>IF(ISNUMBER(G658),E658*G658,"")</f>
        <v>20.116250000000001</v>
      </c>
      <c r="J658" s="28">
        <f>SUM(I658:I658)</f>
        <v>20.116250000000001</v>
      </c>
      <c r="K658" s="29"/>
      <c r="L658" s="174">
        <v>0</v>
      </c>
    </row>
    <row r="659" spans="1:12" ht="15.75" hidden="1" thickBot="1" x14ac:dyDescent="0.3">
      <c r="A659" s="182"/>
      <c r="B659" s="183"/>
      <c r="C659" s="47"/>
      <c r="D659" s="25"/>
      <c r="E659" s="26"/>
      <c r="F659" s="27"/>
      <c r="G659" s="19" t="s">
        <v>1079</v>
      </c>
      <c r="H659" s="27"/>
      <c r="I659" s="19" t="str">
        <f>IF(ISNUMBER(G659),E659*G659,"")</f>
        <v/>
      </c>
      <c r="J659" s="24"/>
      <c r="K659" s="19"/>
      <c r="L659" s="174">
        <v>0</v>
      </c>
    </row>
    <row r="660" spans="1:12" ht="15.75" hidden="1" thickBot="1" x14ac:dyDescent="0.3">
      <c r="A660" s="180" t="s">
        <v>510</v>
      </c>
      <c r="B660" s="178" t="str">
        <f>INDEX(Orçamentária!A:B,MATCH(Composições!A660,Orçamentária!A:A,0),2)</f>
        <v>Corte em placas de granito ou mármore reaproveitadas, para instalação de cubas</v>
      </c>
      <c r="C660" s="30"/>
      <c r="D660" s="13" t="str">
        <f>TRIM(INDEX(Orçamentária!C:C,MATCH(Composições!A660,Orçamentária!A:A,0),1))</f>
        <v>un</v>
      </c>
      <c r="E660" s="14"/>
      <c r="F660" s="15" t="str">
        <f>F662</f>
        <v>Sinapi 38605</v>
      </c>
      <c r="G660" s="31" t="s">
        <v>1079</v>
      </c>
      <c r="H660" s="16"/>
      <c r="I660" s="16" t="str">
        <f>IF(ISNUMBER(G660),E660*G660,"")</f>
        <v/>
      </c>
      <c r="J660" s="17"/>
      <c r="K660" s="18"/>
      <c r="L660" s="174">
        <v>0</v>
      </c>
    </row>
    <row r="661" spans="1:12" ht="15.75" hidden="1" thickBot="1" x14ac:dyDescent="0.3">
      <c r="A661" s="181"/>
      <c r="B661" s="179"/>
      <c r="C661" s="20"/>
      <c r="D661" s="20"/>
      <c r="E661" s="21"/>
      <c r="F661" s="22"/>
      <c r="G661" s="32" t="s">
        <v>1079</v>
      </c>
      <c r="H661" s="20"/>
      <c r="I661" s="19" t="str">
        <f>IF(ISNUMBER(G661),E661*G661,"")</f>
        <v/>
      </c>
      <c r="J661" s="24"/>
      <c r="K661" s="19"/>
      <c r="L661" s="174">
        <v>0</v>
      </c>
    </row>
    <row r="662" spans="1:12" ht="26.25" hidden="1" thickBot="1" x14ac:dyDescent="0.3">
      <c r="A662" s="181"/>
      <c r="B662" s="179"/>
      <c r="C662" s="25" t="s">
        <v>511</v>
      </c>
      <c r="D662" s="36" t="s">
        <v>32</v>
      </c>
      <c r="E662" s="26">
        <v>1</v>
      </c>
      <c r="F662" s="27" t="s">
        <v>512</v>
      </c>
      <c r="G662" s="19">
        <v>70.898499999999999</v>
      </c>
      <c r="H662" s="27" t="s">
        <v>512</v>
      </c>
      <c r="I662" s="23">
        <f>IF(ISNUMBER(G662),E662*G662,"")</f>
        <v>70.898499999999999</v>
      </c>
      <c r="J662" s="28">
        <f>SUM(I662:I662)</f>
        <v>70.898499999999999</v>
      </c>
      <c r="K662" s="29"/>
      <c r="L662" s="174">
        <v>0</v>
      </c>
    </row>
    <row r="663" spans="1:12" ht="15.75" hidden="1" thickBot="1" x14ac:dyDescent="0.3">
      <c r="A663" s="182"/>
      <c r="B663" s="183"/>
      <c r="C663" s="47"/>
      <c r="D663" s="25"/>
      <c r="E663" s="26"/>
      <c r="F663" s="27"/>
      <c r="G663" s="19" t="s">
        <v>1079</v>
      </c>
      <c r="H663" s="27"/>
      <c r="I663" s="19" t="str">
        <f>IF(ISNUMBER(G663),E663*G663,"")</f>
        <v/>
      </c>
      <c r="J663" s="24"/>
      <c r="K663" s="19"/>
      <c r="L663" s="174">
        <v>0</v>
      </c>
    </row>
    <row r="664" spans="1:12" ht="15.75" hidden="1" thickBot="1" x14ac:dyDescent="0.3">
      <c r="A664" s="180" t="s">
        <v>513</v>
      </c>
      <c r="B664" s="178" t="str">
        <f>INDEX(Orçamentária!A:B,MATCH(Composições!A664,Orçamentária!A:A,0),2)</f>
        <v>Furo em placas de granito ou mármore reaproveitadas, para instalação de torneira ou misturador</v>
      </c>
      <c r="C664" s="157"/>
      <c r="D664" s="13" t="str">
        <f>TRIM(INDEX(Orçamentária!C:C,MATCH(Composições!A664,Orçamentária!A:A,0),1))</f>
        <v>un</v>
      </c>
      <c r="E664" s="14"/>
      <c r="F664" s="15" t="str">
        <f>F666</f>
        <v>Sinapi 38633</v>
      </c>
      <c r="G664" s="31" t="s">
        <v>1079</v>
      </c>
      <c r="H664" s="16"/>
      <c r="I664" s="16" t="str">
        <f>IF(ISNUMBER(G664),E664*G664,"")</f>
        <v/>
      </c>
      <c r="J664" s="17"/>
      <c r="K664" s="18"/>
      <c r="L664" s="174">
        <v>0</v>
      </c>
    </row>
    <row r="665" spans="1:12" ht="15.75" hidden="1" thickBot="1" x14ac:dyDescent="0.3">
      <c r="A665" s="181"/>
      <c r="B665" s="179"/>
      <c r="C665" s="20"/>
      <c r="D665" s="20"/>
      <c r="E665" s="21"/>
      <c r="F665" s="22"/>
      <c r="G665" s="32" t="s">
        <v>1079</v>
      </c>
      <c r="H665" s="20"/>
      <c r="I665" s="19" t="str">
        <f>IF(ISNUMBER(G665),E665*G665,"")</f>
        <v/>
      </c>
      <c r="J665" s="24"/>
      <c r="K665" s="19"/>
      <c r="L665" s="174">
        <v>0</v>
      </c>
    </row>
    <row r="666" spans="1:12" ht="27" hidden="1" thickBot="1" x14ac:dyDescent="0.3">
      <c r="A666" s="181"/>
      <c r="B666" s="179"/>
      <c r="C666" s="42" t="s">
        <v>514</v>
      </c>
      <c r="D666" s="36" t="s">
        <v>32</v>
      </c>
      <c r="E666" s="26">
        <v>1</v>
      </c>
      <c r="F666" s="27" t="s">
        <v>515</v>
      </c>
      <c r="G666" s="19">
        <v>10.6305</v>
      </c>
      <c r="H666" s="27" t="s">
        <v>515</v>
      </c>
      <c r="I666" s="23">
        <f>IF(ISNUMBER(G666),E666*G666,"")</f>
        <v>10.6305</v>
      </c>
      <c r="J666" s="28">
        <f>SUM(I666:I666)</f>
        <v>10.6305</v>
      </c>
      <c r="K666" s="29"/>
      <c r="L666" s="174">
        <v>0</v>
      </c>
    </row>
    <row r="667" spans="1:12" ht="15.75" hidden="1" thickBot="1" x14ac:dyDescent="0.3">
      <c r="A667" s="182"/>
      <c r="B667" s="183"/>
      <c r="C667" s="25"/>
      <c r="D667" s="25"/>
      <c r="E667" s="26"/>
      <c r="F667" s="27"/>
      <c r="G667" s="19" t="s">
        <v>1079</v>
      </c>
      <c r="H667" s="27"/>
      <c r="I667" s="19" t="str">
        <f>IF(ISNUMBER(G667),E667*G667,"")</f>
        <v/>
      </c>
      <c r="J667" s="24"/>
      <c r="K667" s="19"/>
      <c r="L667" s="174">
        <v>0</v>
      </c>
    </row>
    <row r="668" spans="1:12" ht="15.75" hidden="1" thickBot="1" x14ac:dyDescent="0.3">
      <c r="A668" s="180" t="s">
        <v>516</v>
      </c>
      <c r="B668" s="178" t="str">
        <f>INDEX(Orçamentária!A:B,MATCH(Composições!A668,Orçamentária!A:A,0),2)</f>
        <v>Granito Cinza Andorinha 20mm para rodabancada</v>
      </c>
      <c r="C668" s="30"/>
      <c r="D668" s="13" t="str">
        <f>TRIM(INDEX(Orçamentária!C:C,MATCH(Composições!A668,Orçamentária!A:A,0),1))</f>
        <v>m2</v>
      </c>
      <c r="E668" s="14"/>
      <c r="F668" s="15" t="s">
        <v>478</v>
      </c>
      <c r="G668" s="31" t="s">
        <v>1079</v>
      </c>
      <c r="H668" s="16"/>
      <c r="I668" s="16" t="str">
        <f>IF(ISNUMBER(G668),E668*G668,"")</f>
        <v/>
      </c>
      <c r="J668" s="17"/>
      <c r="K668" s="18"/>
      <c r="L668" s="174">
        <v>0</v>
      </c>
    </row>
    <row r="669" spans="1:12" ht="15.75" hidden="1" thickBot="1" x14ac:dyDescent="0.3">
      <c r="A669" s="181"/>
      <c r="B669" s="179"/>
      <c r="C669" s="20"/>
      <c r="D669" s="20"/>
      <c r="E669" s="21"/>
      <c r="F669" s="22"/>
      <c r="G669" s="32" t="s">
        <v>1079</v>
      </c>
      <c r="H669" s="20"/>
      <c r="I669" s="19" t="str">
        <f>IF(ISNUMBER(G669),E669*G669,"")</f>
        <v/>
      </c>
      <c r="J669" s="24"/>
      <c r="K669" s="19"/>
      <c r="L669" s="174">
        <v>0</v>
      </c>
    </row>
    <row r="670" spans="1:12" ht="26.25" hidden="1" thickBot="1" x14ac:dyDescent="0.3">
      <c r="A670" s="181"/>
      <c r="B670" s="179"/>
      <c r="C670" s="25" t="s">
        <v>517</v>
      </c>
      <c r="D670" s="25" t="s">
        <v>184</v>
      </c>
      <c r="E670" s="26">
        <f>ROUND(1.04/0.15,4)</f>
        <v>6.9333</v>
      </c>
      <c r="F670" s="27" t="s">
        <v>478</v>
      </c>
      <c r="G670" s="23">
        <v>49.11</v>
      </c>
      <c r="H670" s="27" t="s">
        <v>33</v>
      </c>
      <c r="I670" s="23">
        <f>IF(ISNUMBER(G670),E670*G670,"")</f>
        <v>340.49436300000002</v>
      </c>
      <c r="J670" s="28">
        <f>SUM(I670:I674)</f>
        <v>395.29472920000006</v>
      </c>
      <c r="K670" s="29"/>
      <c r="L670" s="174">
        <v>0</v>
      </c>
    </row>
    <row r="671" spans="1:12" ht="15.75" hidden="1" thickBot="1" x14ac:dyDescent="0.3">
      <c r="A671" s="181"/>
      <c r="B671" s="179"/>
      <c r="C671" s="25" t="s">
        <v>471</v>
      </c>
      <c r="D671" s="25" t="s">
        <v>75</v>
      </c>
      <c r="E671" s="26">
        <f>ROUND(0.8614/0.15,4)</f>
        <v>5.7427000000000001</v>
      </c>
      <c r="F671" s="27" t="s">
        <v>478</v>
      </c>
      <c r="G671" s="23">
        <v>1.159</v>
      </c>
      <c r="H671" s="27" t="s">
        <v>473</v>
      </c>
      <c r="I671" s="23">
        <f>IF(ISNUMBER(G671),E671*G671,"")</f>
        <v>6.6557893000000004</v>
      </c>
      <c r="J671" s="24"/>
      <c r="K671" s="19"/>
      <c r="L671" s="174">
        <v>0</v>
      </c>
    </row>
    <row r="672" spans="1:12" ht="15.75" hidden="1" thickBot="1" x14ac:dyDescent="0.3">
      <c r="A672" s="181"/>
      <c r="B672" s="179"/>
      <c r="C672" s="25" t="s">
        <v>101</v>
      </c>
      <c r="D672" s="25" t="s">
        <v>21</v>
      </c>
      <c r="E672" s="26">
        <f>ROUND(0.299/0.15,4)</f>
        <v>1.9933000000000001</v>
      </c>
      <c r="F672" s="27" t="s">
        <v>478</v>
      </c>
      <c r="G672" s="19">
        <v>16.093</v>
      </c>
      <c r="H672" s="27" t="s">
        <v>103</v>
      </c>
      <c r="I672" s="23">
        <f>IF(ISNUMBER(G672),E672*G672,"")</f>
        <v>32.078176900000003</v>
      </c>
      <c r="J672" s="24"/>
      <c r="K672" s="19"/>
      <c r="L672" s="174">
        <v>0</v>
      </c>
    </row>
    <row r="673" spans="1:12" ht="15.75" hidden="1" thickBot="1" x14ac:dyDescent="0.3">
      <c r="A673" s="181"/>
      <c r="B673" s="179"/>
      <c r="C673" s="25" t="s">
        <v>38</v>
      </c>
      <c r="D673" s="25" t="s">
        <v>21</v>
      </c>
      <c r="E673" s="26">
        <f>0.15/0.15</f>
        <v>1</v>
      </c>
      <c r="F673" s="27" t="s">
        <v>478</v>
      </c>
      <c r="G673" s="19">
        <v>14.325999999999999</v>
      </c>
      <c r="H673" s="27" t="s">
        <v>39</v>
      </c>
      <c r="I673" s="23">
        <f>IF(ISNUMBER(G673),E673*G673,"")</f>
        <v>14.325999999999999</v>
      </c>
      <c r="J673" s="24"/>
      <c r="K673" s="19"/>
      <c r="L673" s="174">
        <v>0</v>
      </c>
    </row>
    <row r="674" spans="1:12" ht="15.75" hidden="1" thickBot="1" x14ac:dyDescent="0.3">
      <c r="A674" s="181"/>
      <c r="B674" s="179"/>
      <c r="C674" s="25" t="s">
        <v>474</v>
      </c>
      <c r="D674" s="25" t="s">
        <v>75</v>
      </c>
      <c r="E674" s="26">
        <f>0.12/0.15</f>
        <v>0.8</v>
      </c>
      <c r="F674" s="27" t="s">
        <v>478</v>
      </c>
      <c r="G674" s="23">
        <v>2.1755</v>
      </c>
      <c r="H674" s="27" t="s">
        <v>475</v>
      </c>
      <c r="I674" s="23">
        <f>IF(ISNUMBER(G674),E674*G674,"")</f>
        <v>1.7404000000000002</v>
      </c>
      <c r="J674" s="24"/>
      <c r="K674" s="19"/>
      <c r="L674" s="174">
        <v>0</v>
      </c>
    </row>
    <row r="675" spans="1:12" ht="15.75" hidden="1" thickBot="1" x14ac:dyDescent="0.3">
      <c r="A675" s="181"/>
      <c r="B675" s="179"/>
      <c r="C675" s="25"/>
      <c r="D675" s="25"/>
      <c r="E675" s="26"/>
      <c r="F675" s="27"/>
      <c r="G675" s="23" t="s">
        <v>1079</v>
      </c>
      <c r="H675" s="27"/>
      <c r="I675" s="23" t="str">
        <f>IF(ISNUMBER(G675),E675*G675,"")</f>
        <v/>
      </c>
      <c r="J675" s="24"/>
      <c r="K675" s="19"/>
      <c r="L675" s="174">
        <v>0</v>
      </c>
    </row>
    <row r="676" spans="1:12" ht="15.75" thickBot="1" x14ac:dyDescent="0.3">
      <c r="A676" s="288" t="s">
        <v>518</v>
      </c>
      <c r="B676" s="289" t="str">
        <f>INDEX(Orçamentária!A:B,MATCH(Composições!A676,Orçamentária!A:A,0),2)</f>
        <v>Granito Cinza Andorinha 20mm para bancadas</v>
      </c>
      <c r="C676" s="274"/>
      <c r="D676" s="265" t="str">
        <f>TRIM(INDEX(Orçamentária!C:C,MATCH(Composições!A676,Orçamentária!A:A,0),1))</f>
        <v>m2</v>
      </c>
      <c r="E676" s="290"/>
      <c r="F676" s="259" t="s">
        <v>519</v>
      </c>
      <c r="G676" s="260" t="s">
        <v>1079</v>
      </c>
      <c r="H676" s="261"/>
      <c r="I676" s="261" t="str">
        <f>IF(ISNUMBER(G676),E676*G676,"")</f>
        <v/>
      </c>
      <c r="J676" s="280"/>
      <c r="K676" s="18"/>
      <c r="L676" s="174">
        <v>3.87</v>
      </c>
    </row>
    <row r="677" spans="1:12" x14ac:dyDescent="0.25">
      <c r="A677" s="291"/>
      <c r="B677" s="292"/>
      <c r="C677" s="155"/>
      <c r="D677" s="155"/>
      <c r="E677" s="293"/>
      <c r="F677" s="294"/>
      <c r="G677" s="262" t="s">
        <v>1079</v>
      </c>
      <c r="H677" s="155"/>
      <c r="I677" s="257" t="str">
        <f>IF(ISNUMBER(G677),E677*G677,"")</f>
        <v/>
      </c>
      <c r="J677" s="281"/>
      <c r="K677" s="19"/>
      <c r="L677" s="174">
        <v>3.87</v>
      </c>
    </row>
    <row r="678" spans="1:12" ht="25.5" x14ac:dyDescent="0.25">
      <c r="A678" s="291"/>
      <c r="B678" s="292"/>
      <c r="C678" s="105" t="s">
        <v>520</v>
      </c>
      <c r="D678" s="105" t="s">
        <v>189</v>
      </c>
      <c r="E678" s="250">
        <v>1</v>
      </c>
      <c r="F678" s="176" t="s">
        <v>519</v>
      </c>
      <c r="G678" s="258">
        <v>273</v>
      </c>
      <c r="H678" s="176" t="s">
        <v>33</v>
      </c>
      <c r="I678" s="257">
        <f>IF(ISNUMBER(G678),E678*G678,"")</f>
        <v>273</v>
      </c>
      <c r="J678" s="295">
        <f>SUM(I678:I682)</f>
        <v>320.74000420000004</v>
      </c>
      <c r="K678" s="29"/>
      <c r="L678" s="174">
        <v>3.87</v>
      </c>
    </row>
    <row r="679" spans="1:12" x14ac:dyDescent="0.25">
      <c r="A679" s="291"/>
      <c r="B679" s="292"/>
      <c r="C679" s="105" t="s">
        <v>521</v>
      </c>
      <c r="D679" s="105" t="s">
        <v>184</v>
      </c>
      <c r="E679" s="250">
        <v>0.6</v>
      </c>
      <c r="F679" s="176" t="s">
        <v>522</v>
      </c>
      <c r="G679" s="258">
        <v>6.9729999999999999</v>
      </c>
      <c r="H679" s="176" t="s">
        <v>523</v>
      </c>
      <c r="I679" s="258">
        <f>IF(ISNUMBER(G679),E679*G679,"")</f>
        <v>4.1837999999999997</v>
      </c>
      <c r="J679" s="281"/>
      <c r="K679" s="19"/>
      <c r="L679" s="174">
        <v>3.87</v>
      </c>
    </row>
    <row r="680" spans="1:12" x14ac:dyDescent="0.25">
      <c r="A680" s="291"/>
      <c r="B680" s="292"/>
      <c r="C680" s="105" t="s">
        <v>524</v>
      </c>
      <c r="D680" s="105" t="s">
        <v>75</v>
      </c>
      <c r="E680" s="250">
        <f>0.0351/1.5/0.6</f>
        <v>3.9E-2</v>
      </c>
      <c r="F680" s="176" t="s">
        <v>519</v>
      </c>
      <c r="G680" s="258">
        <v>33.667999999999999</v>
      </c>
      <c r="H680" s="176" t="s">
        <v>525</v>
      </c>
      <c r="I680" s="258">
        <f>IF(ISNUMBER(G680),E680*G680,"")</f>
        <v>1.3130519999999999</v>
      </c>
      <c r="J680" s="281"/>
      <c r="K680" s="19"/>
      <c r="L680" s="174">
        <v>3.87</v>
      </c>
    </row>
    <row r="681" spans="1:12" x14ac:dyDescent="0.25">
      <c r="A681" s="291"/>
      <c r="B681" s="292"/>
      <c r="C681" s="105" t="s">
        <v>101</v>
      </c>
      <c r="D681" s="105" t="s">
        <v>21</v>
      </c>
      <c r="E681" s="250">
        <f>ROUND(1.49/1.5/0.6,4)</f>
        <v>1.6556</v>
      </c>
      <c r="F681" s="176" t="s">
        <v>519</v>
      </c>
      <c r="G681" s="257">
        <v>16.093</v>
      </c>
      <c r="H681" s="176" t="s">
        <v>103</v>
      </c>
      <c r="I681" s="258">
        <f>IF(ISNUMBER(G681),E681*G681,"")</f>
        <v>26.643570799999999</v>
      </c>
      <c r="J681" s="281"/>
      <c r="K681" s="19"/>
      <c r="L681" s="174">
        <v>3.87</v>
      </c>
    </row>
    <row r="682" spans="1:12" x14ac:dyDescent="0.25">
      <c r="A682" s="291"/>
      <c r="B682" s="292"/>
      <c r="C682" s="105" t="s">
        <v>38</v>
      </c>
      <c r="D682" s="105" t="s">
        <v>21</v>
      </c>
      <c r="E682" s="250">
        <f>ROUND(0.98/1.5/0.6,4)</f>
        <v>1.0889</v>
      </c>
      <c r="F682" s="176" t="s">
        <v>519</v>
      </c>
      <c r="G682" s="257">
        <v>14.325999999999999</v>
      </c>
      <c r="H682" s="176" t="s">
        <v>39</v>
      </c>
      <c r="I682" s="258">
        <f>IF(ISNUMBER(G682),E682*G682,"")</f>
        <v>15.599581399999998</v>
      </c>
      <c r="J682" s="281"/>
      <c r="K682" s="19"/>
      <c r="L682" s="174">
        <v>3.87</v>
      </c>
    </row>
    <row r="683" spans="1:12" ht="15.75" thickBot="1" x14ac:dyDescent="0.3">
      <c r="A683" s="291"/>
      <c r="B683" s="292"/>
      <c r="C683" s="105"/>
      <c r="D683" s="105"/>
      <c r="E683" s="250"/>
      <c r="F683" s="176"/>
      <c r="G683" s="257" t="s">
        <v>1079</v>
      </c>
      <c r="H683" s="176"/>
      <c r="I683" s="258" t="str">
        <f>IF(ISNUMBER(G683),E683*G683,"")</f>
        <v/>
      </c>
      <c r="J683" s="281"/>
      <c r="K683" s="19"/>
      <c r="L683" s="174">
        <v>3.87</v>
      </c>
    </row>
    <row r="684" spans="1:12" ht="15.75" hidden="1" thickBot="1" x14ac:dyDescent="0.3">
      <c r="A684" s="180" t="s">
        <v>526</v>
      </c>
      <c r="B684" s="178" t="str">
        <f>INDEX(Orçamentária!A:B,MATCH(Composições!A684,Orçamentária!A:A,0),2)</f>
        <v>Granito Cinza Andorinha 20mm para divisória</v>
      </c>
      <c r="C684" s="30"/>
      <c r="D684" s="13" t="str">
        <f>TRIM(INDEX(Orçamentária!C:C,MATCH(Composições!A684,Orçamentária!A:A,0),1))</f>
        <v>m2</v>
      </c>
      <c r="E684" s="14"/>
      <c r="F684" s="15" t="s">
        <v>527</v>
      </c>
      <c r="G684" s="31" t="s">
        <v>1079</v>
      </c>
      <c r="H684" s="16"/>
      <c r="I684" s="16" t="str">
        <f>IF(ISNUMBER(G684),E684*G684,"")</f>
        <v/>
      </c>
      <c r="J684" s="17"/>
      <c r="K684" s="18"/>
      <c r="L684" s="174">
        <v>0</v>
      </c>
    </row>
    <row r="685" spans="1:12" ht="15.75" hidden="1" thickBot="1" x14ac:dyDescent="0.3">
      <c r="A685" s="181"/>
      <c r="B685" s="179"/>
      <c r="C685" s="20"/>
      <c r="D685" s="20"/>
      <c r="E685" s="21"/>
      <c r="F685" s="22"/>
      <c r="G685" s="32" t="s">
        <v>1079</v>
      </c>
      <c r="H685" s="20"/>
      <c r="I685" s="19" t="str">
        <f>IF(ISNUMBER(G685),E685*G685,"")</f>
        <v/>
      </c>
      <c r="J685" s="24"/>
      <c r="K685" s="19"/>
      <c r="L685" s="174">
        <v>0</v>
      </c>
    </row>
    <row r="686" spans="1:12" ht="15.75" hidden="1" thickBot="1" x14ac:dyDescent="0.3">
      <c r="A686" s="181"/>
      <c r="B686" s="179"/>
      <c r="C686" s="25" t="s">
        <v>528</v>
      </c>
      <c r="D686" s="25" t="s">
        <v>75</v>
      </c>
      <c r="E686" s="26">
        <v>0.7</v>
      </c>
      <c r="F686" s="27" t="s">
        <v>529</v>
      </c>
      <c r="G686" s="23">
        <v>2.2515000000000001</v>
      </c>
      <c r="H686" s="27" t="s">
        <v>530</v>
      </c>
      <c r="I686" s="23">
        <f>IF(ISNUMBER(G686),E686*G686,"")</f>
        <v>1.57605</v>
      </c>
      <c r="J686" s="28">
        <f>SUM(I686:I690)</f>
        <v>665.16001071157507</v>
      </c>
      <c r="K686" s="29"/>
      <c r="L686" s="174">
        <v>0</v>
      </c>
    </row>
    <row r="687" spans="1:12" ht="26.25" hidden="1" thickBot="1" x14ac:dyDescent="0.3">
      <c r="A687" s="181"/>
      <c r="B687" s="179"/>
      <c r="C687" s="25" t="s">
        <v>531</v>
      </c>
      <c r="D687" s="25" t="s">
        <v>189</v>
      </c>
      <c r="E687" s="26">
        <v>1</v>
      </c>
      <c r="F687" s="27" t="s">
        <v>529</v>
      </c>
      <c r="G687" s="23">
        <v>552.07000000000005</v>
      </c>
      <c r="H687" s="27" t="s">
        <v>33</v>
      </c>
      <c r="I687" s="23">
        <f>IF(ISNUMBER(G687),E687*G687,"")</f>
        <v>552.07000000000005</v>
      </c>
      <c r="J687" s="24"/>
      <c r="K687" s="19"/>
      <c r="L687" s="174">
        <v>0</v>
      </c>
    </row>
    <row r="688" spans="1:12" ht="15.75" hidden="1" thickBot="1" x14ac:dyDescent="0.3">
      <c r="A688" s="181"/>
      <c r="B688" s="179"/>
      <c r="C688" s="25" t="s">
        <v>101</v>
      </c>
      <c r="D688" s="25" t="s">
        <v>21</v>
      </c>
      <c r="E688" s="26">
        <v>4.8</v>
      </c>
      <c r="F688" s="27" t="s">
        <v>529</v>
      </c>
      <c r="G688" s="19">
        <v>16.093</v>
      </c>
      <c r="H688" s="27" t="s">
        <v>103</v>
      </c>
      <c r="I688" s="23">
        <f>IF(ISNUMBER(G688),E688*G688,"")</f>
        <v>77.246399999999994</v>
      </c>
      <c r="J688" s="24"/>
      <c r="K688" s="19"/>
      <c r="L688" s="174">
        <v>0</v>
      </c>
    </row>
    <row r="689" spans="1:12" ht="15.75" hidden="1" thickBot="1" x14ac:dyDescent="0.3">
      <c r="A689" s="181"/>
      <c r="B689" s="179"/>
      <c r="C689" s="25" t="s">
        <v>38</v>
      </c>
      <c r="D689" s="25" t="s">
        <v>21</v>
      </c>
      <c r="E689" s="26">
        <v>2.2999999999999998</v>
      </c>
      <c r="F689" s="27" t="s">
        <v>529</v>
      </c>
      <c r="G689" s="19">
        <v>14.325999999999999</v>
      </c>
      <c r="H689" s="27" t="s">
        <v>39</v>
      </c>
      <c r="I689" s="23">
        <f>IF(ISNUMBER(G689),E689*G689,"")</f>
        <v>32.949799999999996</v>
      </c>
      <c r="J689" s="24"/>
      <c r="K689" s="19"/>
      <c r="L689" s="174">
        <v>0</v>
      </c>
    </row>
    <row r="690" spans="1:12" ht="26.25" hidden="1" thickBot="1" x14ac:dyDescent="0.3">
      <c r="A690" s="181"/>
      <c r="B690" s="179"/>
      <c r="C690" s="25" t="s">
        <v>532</v>
      </c>
      <c r="D690" s="25" t="s">
        <v>228</v>
      </c>
      <c r="E690" s="26">
        <v>3.3E-3</v>
      </c>
      <c r="F690" s="27" t="s">
        <v>529</v>
      </c>
      <c r="G690" s="23">
        <v>399.32142775</v>
      </c>
      <c r="H690" s="27" t="s">
        <v>533</v>
      </c>
      <c r="I690" s="23">
        <f>IF(ISNUMBER(G690),E690*G690,"")</f>
        <v>1.3177607115750001</v>
      </c>
      <c r="J690" s="24"/>
      <c r="K690" s="19"/>
      <c r="L690" s="174">
        <v>0</v>
      </c>
    </row>
    <row r="691" spans="1:12" ht="15.75" hidden="1" thickBot="1" x14ac:dyDescent="0.3">
      <c r="A691" s="181"/>
      <c r="B691" s="179"/>
      <c r="C691" s="25"/>
      <c r="D691" s="25"/>
      <c r="E691" s="26"/>
      <c r="F691" s="27"/>
      <c r="G691" s="23" t="s">
        <v>1079</v>
      </c>
      <c r="H691" s="27"/>
      <c r="I691" s="23" t="str">
        <f>IF(ISNUMBER(G691),E691*G691,"")</f>
        <v/>
      </c>
      <c r="J691" s="24"/>
      <c r="K691" s="19"/>
      <c r="L691" s="174">
        <v>0</v>
      </c>
    </row>
    <row r="692" spans="1:12" ht="15.75" thickBot="1" x14ac:dyDescent="0.3">
      <c r="A692" s="288" t="s">
        <v>534</v>
      </c>
      <c r="B692" s="289" t="str">
        <f>INDEX(Orçamentária!A:B,MATCH(Composições!A692,Orçamentária!A:A,0),2)</f>
        <v>Granito Preto São Gabriel 20mm para rodabancada</v>
      </c>
      <c r="C692" s="274"/>
      <c r="D692" s="265" t="str">
        <f>TRIM(INDEX(Orçamentária!C:C,MATCH(Composições!A692,Orçamentária!A:A,0),1))</f>
        <v>m2</v>
      </c>
      <c r="E692" s="290"/>
      <c r="F692" s="259" t="s">
        <v>478</v>
      </c>
      <c r="G692" s="260" t="s">
        <v>1079</v>
      </c>
      <c r="H692" s="261"/>
      <c r="I692" s="261" t="str">
        <f>IF(ISNUMBER(G692),E692*G692,"")</f>
        <v/>
      </c>
      <c r="J692" s="280"/>
      <c r="K692" s="18"/>
      <c r="L692" s="174">
        <v>0.78</v>
      </c>
    </row>
    <row r="693" spans="1:12" x14ac:dyDescent="0.25">
      <c r="A693" s="291"/>
      <c r="B693" s="292"/>
      <c r="C693" s="155"/>
      <c r="D693" s="155"/>
      <c r="E693" s="293"/>
      <c r="F693" s="294"/>
      <c r="G693" s="262" t="s">
        <v>1079</v>
      </c>
      <c r="H693" s="155"/>
      <c r="I693" s="257" t="str">
        <f>IF(ISNUMBER(G693),E693*G693,"")</f>
        <v/>
      </c>
      <c r="J693" s="281"/>
      <c r="K693" s="19"/>
      <c r="L693" s="174">
        <v>0.78</v>
      </c>
    </row>
    <row r="694" spans="1:12" ht="25.5" x14ac:dyDescent="0.25">
      <c r="A694" s="291"/>
      <c r="B694" s="292"/>
      <c r="C694" s="105" t="s">
        <v>535</v>
      </c>
      <c r="D694" s="105" t="s">
        <v>184</v>
      </c>
      <c r="E694" s="250">
        <f>ROUND(1.04/0.15,4)</f>
        <v>6.9333</v>
      </c>
      <c r="F694" s="176" t="s">
        <v>478</v>
      </c>
      <c r="G694" s="258">
        <v>61.55</v>
      </c>
      <c r="H694" s="176" t="s">
        <v>33</v>
      </c>
      <c r="I694" s="257">
        <f>IF(ISNUMBER(G694),E694*G694,"")</f>
        <v>426.74461499999995</v>
      </c>
      <c r="J694" s="295">
        <f>SUM(I694:I698)</f>
        <v>481.5449812</v>
      </c>
      <c r="K694" s="29"/>
      <c r="L694" s="174">
        <v>0.78</v>
      </c>
    </row>
    <row r="695" spans="1:12" x14ac:dyDescent="0.25">
      <c r="A695" s="291"/>
      <c r="B695" s="292"/>
      <c r="C695" s="105" t="s">
        <v>471</v>
      </c>
      <c r="D695" s="105" t="s">
        <v>75</v>
      </c>
      <c r="E695" s="250">
        <f>ROUND(0.8614/0.15,4)</f>
        <v>5.7427000000000001</v>
      </c>
      <c r="F695" s="176" t="s">
        <v>478</v>
      </c>
      <c r="G695" s="258">
        <v>1.159</v>
      </c>
      <c r="H695" s="176" t="s">
        <v>473</v>
      </c>
      <c r="I695" s="258">
        <f>IF(ISNUMBER(G695),E695*G695,"")</f>
        <v>6.6557893000000004</v>
      </c>
      <c r="J695" s="281"/>
      <c r="K695" s="19"/>
      <c r="L695" s="174">
        <v>0.78</v>
      </c>
    </row>
    <row r="696" spans="1:12" x14ac:dyDescent="0.25">
      <c r="A696" s="291"/>
      <c r="B696" s="292"/>
      <c r="C696" s="105" t="s">
        <v>101</v>
      </c>
      <c r="D696" s="105" t="s">
        <v>21</v>
      </c>
      <c r="E696" s="250">
        <f>ROUND(0.299/0.15,4)</f>
        <v>1.9933000000000001</v>
      </c>
      <c r="F696" s="176" t="s">
        <v>478</v>
      </c>
      <c r="G696" s="258">
        <v>16.093</v>
      </c>
      <c r="H696" s="176" t="s">
        <v>103</v>
      </c>
      <c r="I696" s="258">
        <f>IF(ISNUMBER(G696),E696*G696,"")</f>
        <v>32.078176900000003</v>
      </c>
      <c r="J696" s="281"/>
      <c r="K696" s="19"/>
      <c r="L696" s="174">
        <v>0.78</v>
      </c>
    </row>
    <row r="697" spans="1:12" x14ac:dyDescent="0.25">
      <c r="A697" s="291"/>
      <c r="B697" s="292"/>
      <c r="C697" s="105" t="s">
        <v>38</v>
      </c>
      <c r="D697" s="105" t="s">
        <v>21</v>
      </c>
      <c r="E697" s="250">
        <f>0.15/0.15</f>
        <v>1</v>
      </c>
      <c r="F697" s="176" t="s">
        <v>478</v>
      </c>
      <c r="G697" s="258">
        <v>14.325999999999999</v>
      </c>
      <c r="H697" s="176" t="s">
        <v>39</v>
      </c>
      <c r="I697" s="258">
        <f>IF(ISNUMBER(G697),E697*G697,"")</f>
        <v>14.325999999999999</v>
      </c>
      <c r="J697" s="281"/>
      <c r="K697" s="19"/>
      <c r="L697" s="174">
        <v>0.78</v>
      </c>
    </row>
    <row r="698" spans="1:12" x14ac:dyDescent="0.25">
      <c r="A698" s="291"/>
      <c r="B698" s="292"/>
      <c r="C698" s="105" t="s">
        <v>474</v>
      </c>
      <c r="D698" s="105" t="s">
        <v>75</v>
      </c>
      <c r="E698" s="250">
        <f>0.12/0.15</f>
        <v>0.8</v>
      </c>
      <c r="F698" s="176" t="s">
        <v>478</v>
      </c>
      <c r="G698" s="258">
        <v>2.1755</v>
      </c>
      <c r="H698" s="176" t="s">
        <v>475</v>
      </c>
      <c r="I698" s="258">
        <f>IF(ISNUMBER(G698),E698*G698,"")</f>
        <v>1.7404000000000002</v>
      </c>
      <c r="J698" s="281"/>
      <c r="K698" s="19"/>
      <c r="L698" s="174">
        <v>0.78</v>
      </c>
    </row>
    <row r="699" spans="1:12" ht="15.75" thickBot="1" x14ac:dyDescent="0.3">
      <c r="A699" s="291"/>
      <c r="B699" s="292"/>
      <c r="C699" s="105"/>
      <c r="D699" s="105"/>
      <c r="E699" s="250"/>
      <c r="F699" s="176"/>
      <c r="G699" s="258" t="s">
        <v>1079</v>
      </c>
      <c r="H699" s="176"/>
      <c r="I699" s="258" t="str">
        <f>IF(ISNUMBER(G699),E699*G699,"")</f>
        <v/>
      </c>
      <c r="J699" s="281"/>
      <c r="K699" s="19"/>
      <c r="L699" s="174">
        <v>0.78</v>
      </c>
    </row>
    <row r="700" spans="1:12" ht="15.75" hidden="1" thickBot="1" x14ac:dyDescent="0.3">
      <c r="A700" s="180" t="s">
        <v>536</v>
      </c>
      <c r="B700" s="178" t="str">
        <f>INDEX(Orçamentária!A:B,MATCH(Composições!A700,Orçamentária!A:A,0),2)</f>
        <v>Granito Preto São Gabriel 20mm para bancadas</v>
      </c>
      <c r="C700" s="30"/>
      <c r="D700" s="13" t="str">
        <f>TRIM(INDEX(Orçamentária!C:C,MATCH(Composições!A700,Orçamentária!A:A,0),1))</f>
        <v>m2</v>
      </c>
      <c r="E700" s="14"/>
      <c r="F700" s="15" t="s">
        <v>519</v>
      </c>
      <c r="G700" s="31" t="s">
        <v>1079</v>
      </c>
      <c r="H700" s="16"/>
      <c r="I700" s="16" t="str">
        <f>IF(ISNUMBER(G700),E700*G700,"")</f>
        <v/>
      </c>
      <c r="J700" s="17"/>
      <c r="K700" s="18"/>
      <c r="L700" s="174">
        <v>0</v>
      </c>
    </row>
    <row r="701" spans="1:12" ht="15.75" hidden="1" thickBot="1" x14ac:dyDescent="0.3">
      <c r="A701" s="181"/>
      <c r="B701" s="179"/>
      <c r="C701" s="20"/>
      <c r="D701" s="20"/>
      <c r="E701" s="21"/>
      <c r="F701" s="22"/>
      <c r="G701" s="32" t="s">
        <v>1079</v>
      </c>
      <c r="H701" s="20"/>
      <c r="I701" s="19" t="str">
        <f>IF(ISNUMBER(G701),E701*G701,"")</f>
        <v/>
      </c>
      <c r="J701" s="24"/>
      <c r="K701" s="19"/>
      <c r="L701" s="174">
        <v>0</v>
      </c>
    </row>
    <row r="702" spans="1:12" ht="26.25" hidden="1" thickBot="1" x14ac:dyDescent="0.3">
      <c r="A702" s="181"/>
      <c r="B702" s="179"/>
      <c r="C702" s="25" t="s">
        <v>537</v>
      </c>
      <c r="D702" s="25" t="s">
        <v>189</v>
      </c>
      <c r="E702" s="26">
        <v>1.0049999999999999</v>
      </c>
      <c r="F702" s="27" t="s">
        <v>519</v>
      </c>
      <c r="G702" s="23" t="s">
        <v>1079</v>
      </c>
      <c r="H702" s="27" t="s">
        <v>33</v>
      </c>
      <c r="I702" s="23" t="str">
        <f>IF(ISNUMBER(G702),E702*G702,"")</f>
        <v/>
      </c>
      <c r="J702" s="28">
        <f>SUM(I702:I706)</f>
        <v>47.7736722</v>
      </c>
      <c r="K702" s="29"/>
      <c r="L702" s="174">
        <v>0</v>
      </c>
    </row>
    <row r="703" spans="1:12" ht="15.75" hidden="1" thickBot="1" x14ac:dyDescent="0.3">
      <c r="A703" s="181"/>
      <c r="B703" s="179"/>
      <c r="C703" s="25" t="s">
        <v>521</v>
      </c>
      <c r="D703" s="25" t="s">
        <v>184</v>
      </c>
      <c r="E703" s="26">
        <v>0.6</v>
      </c>
      <c r="F703" s="27" t="s">
        <v>522</v>
      </c>
      <c r="G703" s="23">
        <v>6.9729999999999999</v>
      </c>
      <c r="H703" s="27" t="s">
        <v>523</v>
      </c>
      <c r="I703" s="23">
        <f>IF(ISNUMBER(G703),E703*G703,"")</f>
        <v>4.1837999999999997</v>
      </c>
      <c r="J703" s="24"/>
      <c r="K703" s="19"/>
      <c r="L703" s="174">
        <v>0</v>
      </c>
    </row>
    <row r="704" spans="1:12" ht="15.75" hidden="1" thickBot="1" x14ac:dyDescent="0.3">
      <c r="A704" s="181"/>
      <c r="B704" s="179"/>
      <c r="C704" s="25" t="s">
        <v>524</v>
      </c>
      <c r="D704" s="25" t="s">
        <v>75</v>
      </c>
      <c r="E704" s="26">
        <f>ROUND(0.0351/1.5/0.6,2)</f>
        <v>0.04</v>
      </c>
      <c r="F704" s="27" t="s">
        <v>519</v>
      </c>
      <c r="G704" s="23">
        <v>33.667999999999999</v>
      </c>
      <c r="H704" s="27" t="s">
        <v>525</v>
      </c>
      <c r="I704" s="23">
        <f>IF(ISNUMBER(G704),E704*G704,"")</f>
        <v>1.3467199999999999</v>
      </c>
      <c r="J704" s="24"/>
      <c r="K704" s="19"/>
      <c r="L704" s="174">
        <v>0</v>
      </c>
    </row>
    <row r="705" spans="1:12" ht="15.75" hidden="1" thickBot="1" x14ac:dyDescent="0.3">
      <c r="A705" s="181"/>
      <c r="B705" s="179"/>
      <c r="C705" s="25" t="s">
        <v>101</v>
      </c>
      <c r="D705" s="25" t="s">
        <v>21</v>
      </c>
      <c r="E705" s="26">
        <f>ROUND(1.49/1.5/0.6,4)</f>
        <v>1.6556</v>
      </c>
      <c r="F705" s="27" t="s">
        <v>519</v>
      </c>
      <c r="G705" s="19">
        <v>16.093</v>
      </c>
      <c r="H705" s="27" t="s">
        <v>103</v>
      </c>
      <c r="I705" s="23">
        <f>IF(ISNUMBER(G705),E705*G705,"")</f>
        <v>26.643570799999999</v>
      </c>
      <c r="J705" s="24"/>
      <c r="K705" s="19"/>
      <c r="L705" s="174">
        <v>0</v>
      </c>
    </row>
    <row r="706" spans="1:12" ht="15.75" hidden="1" thickBot="1" x14ac:dyDescent="0.3">
      <c r="A706" s="181"/>
      <c r="B706" s="179"/>
      <c r="C706" s="25" t="s">
        <v>38</v>
      </c>
      <c r="D706" s="25" t="s">
        <v>21</v>
      </c>
      <c r="E706" s="26">
        <f>ROUND(0.98/1.5/0.6,4)</f>
        <v>1.0889</v>
      </c>
      <c r="F706" s="27" t="s">
        <v>519</v>
      </c>
      <c r="G706" s="19">
        <v>14.325999999999999</v>
      </c>
      <c r="H706" s="27" t="s">
        <v>39</v>
      </c>
      <c r="I706" s="23">
        <f>IF(ISNUMBER(G706),E706*G706,"")</f>
        <v>15.599581399999998</v>
      </c>
      <c r="J706" s="24"/>
      <c r="K706" s="19"/>
      <c r="L706" s="174">
        <v>0</v>
      </c>
    </row>
    <row r="707" spans="1:12" ht="15.75" hidden="1" thickBot="1" x14ac:dyDescent="0.3">
      <c r="A707" s="181"/>
      <c r="B707" s="179"/>
      <c r="C707" s="25"/>
      <c r="D707" s="25"/>
      <c r="E707" s="26"/>
      <c r="F707" s="27"/>
      <c r="G707" s="19" t="s">
        <v>1079</v>
      </c>
      <c r="H707" s="27"/>
      <c r="I707" s="23" t="str">
        <f>IF(ISNUMBER(G707),E707*G707,"")</f>
        <v/>
      </c>
      <c r="J707" s="24"/>
      <c r="K707" s="19"/>
      <c r="L707" s="174">
        <v>0</v>
      </c>
    </row>
    <row r="708" spans="1:12" ht="15.75" hidden="1" thickBot="1" x14ac:dyDescent="0.3">
      <c r="A708" s="180" t="s">
        <v>538</v>
      </c>
      <c r="B708" s="178" t="str">
        <f>INDEX(Orçamentária!A:B,MATCH(Composições!A708,Orçamentária!A:A,0),2)</f>
        <v>Instalação de bancada de granito ou mármore reaproveitada</v>
      </c>
      <c r="C708" s="30"/>
      <c r="D708" s="13" t="str">
        <f>TRIM(INDEX(Orçamentária!C:C,MATCH(Composições!A708,Orçamentária!A:A,0),1))</f>
        <v>m2</v>
      </c>
      <c r="E708" s="14"/>
      <c r="F708" s="15" t="s">
        <v>519</v>
      </c>
      <c r="G708" s="31" t="s">
        <v>1079</v>
      </c>
      <c r="H708" s="16"/>
      <c r="I708" s="16" t="str">
        <f>IF(ISNUMBER(G708),E708*G708,"")</f>
        <v/>
      </c>
      <c r="J708" s="17"/>
      <c r="K708" s="18"/>
      <c r="L708" s="174">
        <v>0</v>
      </c>
    </row>
    <row r="709" spans="1:12" ht="15.75" hidden="1" thickBot="1" x14ac:dyDescent="0.3">
      <c r="A709" s="181"/>
      <c r="B709" s="179"/>
      <c r="C709" s="20"/>
      <c r="D709" s="20"/>
      <c r="E709" s="21"/>
      <c r="F709" s="22"/>
      <c r="G709" s="32" t="s">
        <v>1079</v>
      </c>
      <c r="H709" s="20"/>
      <c r="I709" s="19" t="str">
        <f>IF(ISNUMBER(G709),E709*G709,"")</f>
        <v/>
      </c>
      <c r="J709" s="24"/>
      <c r="K709" s="19"/>
      <c r="L709" s="174">
        <v>0</v>
      </c>
    </row>
    <row r="710" spans="1:12" ht="15.75" hidden="1" thickBot="1" x14ac:dyDescent="0.3">
      <c r="A710" s="181"/>
      <c r="B710" s="179"/>
      <c r="C710" s="25" t="s">
        <v>521</v>
      </c>
      <c r="D710" s="25" t="s">
        <v>184</v>
      </c>
      <c r="E710" s="26">
        <v>0.6</v>
      </c>
      <c r="F710" s="27" t="s">
        <v>522</v>
      </c>
      <c r="G710" s="23">
        <v>6.9729999999999999</v>
      </c>
      <c r="H710" s="27" t="s">
        <v>523</v>
      </c>
      <c r="I710" s="23">
        <f>IF(ISNUMBER(G710),E710*G710,"")</f>
        <v>4.1837999999999997</v>
      </c>
      <c r="J710" s="28">
        <f>SUM(I710:I713)</f>
        <v>47.740004199999994</v>
      </c>
      <c r="K710" s="29"/>
      <c r="L710" s="174">
        <v>0</v>
      </c>
    </row>
    <row r="711" spans="1:12" ht="15.75" hidden="1" thickBot="1" x14ac:dyDescent="0.3">
      <c r="A711" s="181"/>
      <c r="B711" s="179"/>
      <c r="C711" s="25" t="s">
        <v>524</v>
      </c>
      <c r="D711" s="25" t="s">
        <v>75</v>
      </c>
      <c r="E711" s="26">
        <f>ROUND(0.0351/1.5/0.6,4)</f>
        <v>3.9E-2</v>
      </c>
      <c r="F711" s="27" t="s">
        <v>519</v>
      </c>
      <c r="G711" s="23">
        <v>33.667999999999999</v>
      </c>
      <c r="H711" s="27" t="s">
        <v>525</v>
      </c>
      <c r="I711" s="23">
        <f>IF(ISNUMBER(G711),E711*G711,"")</f>
        <v>1.3130519999999999</v>
      </c>
      <c r="J711" s="24"/>
      <c r="K711" s="19"/>
      <c r="L711" s="174">
        <v>0</v>
      </c>
    </row>
    <row r="712" spans="1:12" ht="15.75" hidden="1" thickBot="1" x14ac:dyDescent="0.3">
      <c r="A712" s="181"/>
      <c r="B712" s="179"/>
      <c r="C712" s="25" t="s">
        <v>101</v>
      </c>
      <c r="D712" s="25" t="s">
        <v>21</v>
      </c>
      <c r="E712" s="26">
        <f>ROUND(1.49/1.5/0.6,4)</f>
        <v>1.6556</v>
      </c>
      <c r="F712" s="27" t="s">
        <v>519</v>
      </c>
      <c r="G712" s="19">
        <v>16.093</v>
      </c>
      <c r="H712" s="27" t="s">
        <v>103</v>
      </c>
      <c r="I712" s="23">
        <f>IF(ISNUMBER(G712),E712*G712,"")</f>
        <v>26.643570799999999</v>
      </c>
      <c r="J712" s="24"/>
      <c r="K712" s="19"/>
      <c r="L712" s="174">
        <v>0</v>
      </c>
    </row>
    <row r="713" spans="1:12" ht="15.75" hidden="1" thickBot="1" x14ac:dyDescent="0.3">
      <c r="A713" s="181"/>
      <c r="B713" s="179"/>
      <c r="C713" s="25" t="s">
        <v>38</v>
      </c>
      <c r="D713" s="25" t="s">
        <v>21</v>
      </c>
      <c r="E713" s="26">
        <f>ROUND(0.98/1.5/0.6,4)</f>
        <v>1.0889</v>
      </c>
      <c r="F713" s="27" t="s">
        <v>519</v>
      </c>
      <c r="G713" s="19">
        <v>14.325999999999999</v>
      </c>
      <c r="H713" s="27" t="s">
        <v>39</v>
      </c>
      <c r="I713" s="23">
        <f>IF(ISNUMBER(G713),E713*G713,"")</f>
        <v>15.599581399999998</v>
      </c>
      <c r="J713" s="24"/>
      <c r="K713" s="19"/>
      <c r="L713" s="174">
        <v>0</v>
      </c>
    </row>
    <row r="714" spans="1:12" ht="15.75" hidden="1" thickBot="1" x14ac:dyDescent="0.3">
      <c r="A714" s="182"/>
      <c r="B714" s="183"/>
      <c r="C714" s="25"/>
      <c r="D714" s="25"/>
      <c r="E714" s="26"/>
      <c r="F714" s="27"/>
      <c r="G714" s="19" t="s">
        <v>1079</v>
      </c>
      <c r="H714" s="27"/>
      <c r="I714" s="19" t="str">
        <f>IF(ISNUMBER(G714),E714*G714,"")</f>
        <v/>
      </c>
      <c r="J714" s="24"/>
      <c r="K714" s="19"/>
      <c r="L714" s="174">
        <v>0</v>
      </c>
    </row>
    <row r="715" spans="1:12" ht="15.75" hidden="1" thickBot="1" x14ac:dyDescent="0.3">
      <c r="A715" s="180" t="s">
        <v>539</v>
      </c>
      <c r="B715" s="178" t="str">
        <f>INDEX(Orçamentária!A:B,MATCH(Composições!A715,Orçamentária!A:A,0),2)</f>
        <v>Instalação de rodapé reaproveitado, de mármore ou granito</v>
      </c>
      <c r="C715" s="30"/>
      <c r="D715" s="13" t="str">
        <f>TRIM(INDEX(Orçamentária!C:C,MATCH(Composições!A715,Orçamentária!A:A,0),1))</f>
        <v>m2</v>
      </c>
      <c r="E715" s="14"/>
      <c r="F715" s="15" t="s">
        <v>478</v>
      </c>
      <c r="G715" s="31" t="s">
        <v>1079</v>
      </c>
      <c r="H715" s="16"/>
      <c r="I715" s="16" t="str">
        <f>IF(ISNUMBER(G715),E715*G715,"")</f>
        <v/>
      </c>
      <c r="J715" s="17"/>
      <c r="K715" s="18"/>
      <c r="L715" s="174">
        <v>0</v>
      </c>
    </row>
    <row r="716" spans="1:12" ht="15.75" hidden="1" thickBot="1" x14ac:dyDescent="0.3">
      <c r="A716" s="181"/>
      <c r="B716" s="179"/>
      <c r="C716" s="20"/>
      <c r="D716" s="20"/>
      <c r="E716" s="21"/>
      <c r="F716" s="22"/>
      <c r="G716" s="32" t="s">
        <v>1079</v>
      </c>
      <c r="H716" s="20"/>
      <c r="I716" s="19" t="str">
        <f>IF(ISNUMBER(G716),E716*G716,"")</f>
        <v/>
      </c>
      <c r="J716" s="24"/>
      <c r="K716" s="19"/>
      <c r="L716" s="174">
        <v>0</v>
      </c>
    </row>
    <row r="717" spans="1:12" ht="15.75" hidden="1" thickBot="1" x14ac:dyDescent="0.3">
      <c r="A717" s="181"/>
      <c r="B717" s="179"/>
      <c r="C717" s="25" t="s">
        <v>471</v>
      </c>
      <c r="D717" s="25" t="s">
        <v>75</v>
      </c>
      <c r="E717" s="26">
        <f>0.8614</f>
        <v>0.86140000000000005</v>
      </c>
      <c r="F717" s="27" t="s">
        <v>540</v>
      </c>
      <c r="G717" s="23">
        <v>1.159</v>
      </c>
      <c r="H717" s="27" t="s">
        <v>473</v>
      </c>
      <c r="I717" s="23">
        <f>IF(ISNUMBER(G717),E717*G717,"")</f>
        <v>0.9983626000000001</v>
      </c>
      <c r="J717" s="28">
        <f>SUM(I717:I720)</f>
        <v>8.2201295999999999</v>
      </c>
      <c r="K717" s="29"/>
      <c r="L717" s="174">
        <v>0</v>
      </c>
    </row>
    <row r="718" spans="1:12" ht="15.75" hidden="1" thickBot="1" x14ac:dyDescent="0.3">
      <c r="A718" s="181"/>
      <c r="B718" s="179"/>
      <c r="C718" s="25" t="s">
        <v>101</v>
      </c>
      <c r="D718" s="25" t="s">
        <v>21</v>
      </c>
      <c r="E718" s="26">
        <f>0.299</f>
        <v>0.29899999999999999</v>
      </c>
      <c r="F718" s="27" t="s">
        <v>540</v>
      </c>
      <c r="G718" s="19">
        <v>16.093</v>
      </c>
      <c r="H718" s="27" t="s">
        <v>103</v>
      </c>
      <c r="I718" s="23">
        <f>IF(ISNUMBER(G718),E718*G718,"")</f>
        <v>4.8118069999999999</v>
      </c>
      <c r="J718" s="24"/>
      <c r="K718" s="19"/>
      <c r="L718" s="174">
        <v>0</v>
      </c>
    </row>
    <row r="719" spans="1:12" ht="15.75" hidden="1" thickBot="1" x14ac:dyDescent="0.3">
      <c r="A719" s="181"/>
      <c r="B719" s="179"/>
      <c r="C719" s="25" t="s">
        <v>38</v>
      </c>
      <c r="D719" s="25" t="s">
        <v>21</v>
      </c>
      <c r="E719" s="26">
        <f>0.15</f>
        <v>0.15</v>
      </c>
      <c r="F719" s="27" t="s">
        <v>540</v>
      </c>
      <c r="G719" s="19">
        <v>14.325999999999999</v>
      </c>
      <c r="H719" s="27" t="s">
        <v>39</v>
      </c>
      <c r="I719" s="23">
        <f>IF(ISNUMBER(G719),E719*G719,"")</f>
        <v>2.1488999999999998</v>
      </c>
      <c r="J719" s="24"/>
      <c r="K719" s="19"/>
      <c r="L719" s="174">
        <v>0</v>
      </c>
    </row>
    <row r="720" spans="1:12" ht="15.75" hidden="1" thickBot="1" x14ac:dyDescent="0.3">
      <c r="A720" s="181"/>
      <c r="B720" s="179"/>
      <c r="C720" s="25" t="s">
        <v>474</v>
      </c>
      <c r="D720" s="25" t="s">
        <v>75</v>
      </c>
      <c r="E720" s="26">
        <f>0.12</f>
        <v>0.12</v>
      </c>
      <c r="F720" s="27" t="s">
        <v>540</v>
      </c>
      <c r="G720" s="23">
        <v>2.1755</v>
      </c>
      <c r="H720" s="27" t="s">
        <v>475</v>
      </c>
      <c r="I720" s="23">
        <f>IF(ISNUMBER(G720),E720*G720,"")</f>
        <v>0.26106000000000001</v>
      </c>
      <c r="J720" s="24"/>
      <c r="K720" s="19"/>
      <c r="L720" s="174">
        <v>0</v>
      </c>
    </row>
    <row r="721" spans="1:12" ht="15.75" hidden="1" thickBot="1" x14ac:dyDescent="0.3">
      <c r="A721" s="182"/>
      <c r="B721" s="183"/>
      <c r="C721" s="25"/>
      <c r="D721" s="25"/>
      <c r="E721" s="26"/>
      <c r="F721" s="27"/>
      <c r="G721" s="19" t="s">
        <v>1079</v>
      </c>
      <c r="H721" s="27"/>
      <c r="I721" s="19" t="str">
        <f>IF(ISNUMBER(G721),E721*G721,"")</f>
        <v/>
      </c>
      <c r="J721" s="24"/>
      <c r="K721" s="19"/>
      <c r="L721" s="174">
        <v>0</v>
      </c>
    </row>
    <row r="722" spans="1:12" ht="15.75" hidden="1" thickBot="1" x14ac:dyDescent="0.3">
      <c r="A722" s="180" t="s">
        <v>541</v>
      </c>
      <c r="B722" s="178" t="str">
        <f>INDEX(Orçamentária!A:B,MATCH(Composições!A722,Orçamentária!A:A,0),2)</f>
        <v>Instalação de soleira ou peitoril, de mármore ou granito, reaproveitados</v>
      </c>
      <c r="C722" s="30"/>
      <c r="D722" s="13" t="str">
        <f>TRIM(INDEX(Orçamentária!C:C,MATCH(Composições!A722,Orçamentária!A:A,0),1))</f>
        <v>m2</v>
      </c>
      <c r="E722" s="14"/>
      <c r="F722" s="15" t="s">
        <v>482</v>
      </c>
      <c r="G722" s="31" t="s">
        <v>1079</v>
      </c>
      <c r="H722" s="16"/>
      <c r="I722" s="16" t="str">
        <f>IF(ISNUMBER(G722),E722*G722,"")</f>
        <v/>
      </c>
      <c r="J722" s="17"/>
      <c r="K722" s="18"/>
      <c r="L722" s="174">
        <v>0</v>
      </c>
    </row>
    <row r="723" spans="1:12" ht="15.75" hidden="1" thickBot="1" x14ac:dyDescent="0.3">
      <c r="A723" s="181"/>
      <c r="B723" s="179"/>
      <c r="C723" s="20"/>
      <c r="D723" s="20"/>
      <c r="E723" s="21"/>
      <c r="F723" s="22"/>
      <c r="G723" s="32" t="s">
        <v>1079</v>
      </c>
      <c r="H723" s="20"/>
      <c r="I723" s="19" t="str">
        <f>IF(ISNUMBER(G723),E723*G723,"")</f>
        <v/>
      </c>
      <c r="J723" s="24"/>
      <c r="K723" s="19"/>
      <c r="L723" s="174">
        <v>0</v>
      </c>
    </row>
    <row r="724" spans="1:12" ht="15.75" hidden="1" thickBot="1" x14ac:dyDescent="0.3">
      <c r="A724" s="181"/>
      <c r="B724" s="179"/>
      <c r="C724" s="25" t="s">
        <v>101</v>
      </c>
      <c r="D724" s="25" t="s">
        <v>21</v>
      </c>
      <c r="E724" s="26">
        <v>1.1879999999999999</v>
      </c>
      <c r="F724" s="27" t="s">
        <v>542</v>
      </c>
      <c r="G724" s="19">
        <v>16.093</v>
      </c>
      <c r="H724" s="27" t="s">
        <v>103</v>
      </c>
      <c r="I724" s="23">
        <f>IF(ISNUMBER(G724),E724*G724,"")</f>
        <v>19.118483999999999</v>
      </c>
      <c r="J724" s="28">
        <f>SUM(I724:I726)</f>
        <v>37.618707999999998</v>
      </c>
      <c r="K724" s="29"/>
      <c r="L724" s="174">
        <v>0</v>
      </c>
    </row>
    <row r="725" spans="1:12" ht="15.75" hidden="1" thickBot="1" x14ac:dyDescent="0.3">
      <c r="A725" s="181"/>
      <c r="B725" s="179"/>
      <c r="C725" s="25" t="s">
        <v>38</v>
      </c>
      <c r="D725" s="25" t="s">
        <v>21</v>
      </c>
      <c r="E725" s="26">
        <v>0.59399999999999997</v>
      </c>
      <c r="F725" s="27" t="s">
        <v>542</v>
      </c>
      <c r="G725" s="19">
        <v>14.325999999999999</v>
      </c>
      <c r="H725" s="27" t="s">
        <v>39</v>
      </c>
      <c r="I725" s="23">
        <f>IF(ISNUMBER(G725),E725*G725,"")</f>
        <v>8.509643999999998</v>
      </c>
      <c r="J725" s="24"/>
      <c r="K725" s="19"/>
      <c r="L725" s="174">
        <v>0</v>
      </c>
    </row>
    <row r="726" spans="1:12" ht="15.75" hidden="1" thickBot="1" x14ac:dyDescent="0.3">
      <c r="A726" s="181"/>
      <c r="B726" s="179"/>
      <c r="C726" s="25" t="s">
        <v>471</v>
      </c>
      <c r="D726" s="25" t="s">
        <v>75</v>
      </c>
      <c r="E726" s="26">
        <v>8.6199999999999992</v>
      </c>
      <c r="F726" s="27" t="s">
        <v>542</v>
      </c>
      <c r="G726" s="23">
        <v>1.159</v>
      </c>
      <c r="H726" s="27" t="s">
        <v>473</v>
      </c>
      <c r="I726" s="23">
        <f>IF(ISNUMBER(G726),E726*G726,"")</f>
        <v>9.9905799999999996</v>
      </c>
      <c r="J726" s="24"/>
      <c r="K726" s="19"/>
      <c r="L726" s="174">
        <v>0</v>
      </c>
    </row>
    <row r="727" spans="1:12" ht="15.75" hidden="1" thickBot="1" x14ac:dyDescent="0.3">
      <c r="A727" s="182"/>
      <c r="B727" s="183"/>
      <c r="C727" s="25"/>
      <c r="D727" s="25"/>
      <c r="E727" s="26"/>
      <c r="F727" s="27"/>
      <c r="G727" s="19" t="s">
        <v>1079</v>
      </c>
      <c r="H727" s="27"/>
      <c r="I727" s="19" t="str">
        <f>IF(ISNUMBER(G727),E727*G727,"")</f>
        <v/>
      </c>
      <c r="J727" s="24"/>
      <c r="K727" s="19"/>
      <c r="L727" s="174">
        <v>0</v>
      </c>
    </row>
    <row r="728" spans="1:12" ht="15.75" hidden="1" thickBot="1" x14ac:dyDescent="0.3">
      <c r="A728" s="180" t="s">
        <v>543</v>
      </c>
      <c r="B728" s="178" t="str">
        <f>INDEX(Orçamentária!A:B,MATCH(Composições!A728,Orçamentária!A:A,0),2)</f>
        <v>Mármore Branco Especial 20mm para rodabancada</v>
      </c>
      <c r="C728" s="30"/>
      <c r="D728" s="13" t="str">
        <f>TRIM(INDEX(Orçamentária!C:C,MATCH(Composições!A728,Orçamentária!A:A,0),1))</f>
        <v>m2</v>
      </c>
      <c r="E728" s="14"/>
      <c r="F728" s="15" t="s">
        <v>478</v>
      </c>
      <c r="G728" s="31" t="s">
        <v>1079</v>
      </c>
      <c r="H728" s="16"/>
      <c r="I728" s="16" t="str">
        <f>IF(ISNUMBER(G728),E728*G728,"")</f>
        <v/>
      </c>
      <c r="J728" s="17"/>
      <c r="K728" s="18"/>
      <c r="L728" s="174">
        <v>0</v>
      </c>
    </row>
    <row r="729" spans="1:12" ht="15.75" hidden="1" thickBot="1" x14ac:dyDescent="0.3">
      <c r="A729" s="181"/>
      <c r="B729" s="179"/>
      <c r="C729" s="20"/>
      <c r="D729" s="20"/>
      <c r="E729" s="21"/>
      <c r="F729" s="22"/>
      <c r="G729" s="32" t="s">
        <v>1079</v>
      </c>
      <c r="H729" s="20"/>
      <c r="I729" s="19" t="str">
        <f>IF(ISNUMBER(G729),E729*G729,"")</f>
        <v/>
      </c>
      <c r="J729" s="24"/>
      <c r="K729" s="19"/>
      <c r="L729" s="174">
        <v>0</v>
      </c>
    </row>
    <row r="730" spans="1:12" ht="26.25" hidden="1" thickBot="1" x14ac:dyDescent="0.3">
      <c r="A730" s="181"/>
      <c r="B730" s="179"/>
      <c r="C730" s="25" t="s">
        <v>544</v>
      </c>
      <c r="D730" s="25" t="s">
        <v>184</v>
      </c>
      <c r="E730" s="26">
        <f>ROUND(1.04/0.15,4)</f>
        <v>6.9333</v>
      </c>
      <c r="F730" s="27" t="s">
        <v>478</v>
      </c>
      <c r="G730" s="23" t="s">
        <v>1079</v>
      </c>
      <c r="H730" s="27" t="s">
        <v>33</v>
      </c>
      <c r="I730" s="23" t="str">
        <f>IF(ISNUMBER(G730),E730*G730,"")</f>
        <v/>
      </c>
      <c r="J730" s="28">
        <f>SUM(I730:I734)</f>
        <v>37.923277999999996</v>
      </c>
      <c r="K730" s="29"/>
      <c r="L730" s="174">
        <v>0</v>
      </c>
    </row>
    <row r="731" spans="1:12" ht="15.75" hidden="1" thickBot="1" x14ac:dyDescent="0.3">
      <c r="A731" s="181"/>
      <c r="B731" s="179"/>
      <c r="C731" s="25" t="s">
        <v>471</v>
      </c>
      <c r="D731" s="25" t="s">
        <v>75</v>
      </c>
      <c r="E731" s="26">
        <v>8.6199999999999992</v>
      </c>
      <c r="F731" s="27" t="s">
        <v>470</v>
      </c>
      <c r="G731" s="23">
        <v>1.159</v>
      </c>
      <c r="H731" s="27" t="s">
        <v>473</v>
      </c>
      <c r="I731" s="23">
        <f>IF(ISNUMBER(G731),E731*G731,"")</f>
        <v>9.9905799999999996</v>
      </c>
      <c r="J731" s="24"/>
      <c r="K731" s="19"/>
      <c r="L731" s="174">
        <v>0</v>
      </c>
    </row>
    <row r="732" spans="1:12" ht="15.75" hidden="1" thickBot="1" x14ac:dyDescent="0.3">
      <c r="A732" s="181"/>
      <c r="B732" s="179"/>
      <c r="C732" s="25" t="s">
        <v>101</v>
      </c>
      <c r="D732" s="25" t="s">
        <v>21</v>
      </c>
      <c r="E732" s="26">
        <v>1.1879999999999999</v>
      </c>
      <c r="F732" s="27" t="s">
        <v>470</v>
      </c>
      <c r="G732" s="19">
        <v>16.093</v>
      </c>
      <c r="H732" s="27" t="s">
        <v>103</v>
      </c>
      <c r="I732" s="23">
        <f>IF(ISNUMBER(G732),E732*G732,"")</f>
        <v>19.118483999999999</v>
      </c>
      <c r="J732" s="24"/>
      <c r="K732" s="19"/>
      <c r="L732" s="174">
        <v>0</v>
      </c>
    </row>
    <row r="733" spans="1:12" ht="15.75" hidden="1" thickBot="1" x14ac:dyDescent="0.3">
      <c r="A733" s="181"/>
      <c r="B733" s="179"/>
      <c r="C733" s="25" t="s">
        <v>38</v>
      </c>
      <c r="D733" s="25" t="s">
        <v>21</v>
      </c>
      <c r="E733" s="26">
        <v>0.59399999999999997</v>
      </c>
      <c r="F733" s="27" t="s">
        <v>470</v>
      </c>
      <c r="G733" s="19">
        <v>14.325999999999999</v>
      </c>
      <c r="H733" s="27" t="s">
        <v>39</v>
      </c>
      <c r="I733" s="23">
        <f>IF(ISNUMBER(G733),E733*G733,"")</f>
        <v>8.509643999999998</v>
      </c>
      <c r="J733" s="24"/>
      <c r="K733" s="19"/>
      <c r="L733" s="174">
        <v>0</v>
      </c>
    </row>
    <row r="734" spans="1:12" ht="15.75" hidden="1" thickBot="1" x14ac:dyDescent="0.3">
      <c r="A734" s="181"/>
      <c r="B734" s="179"/>
      <c r="C734" s="25" t="s">
        <v>474</v>
      </c>
      <c r="D734" s="25" t="s">
        <v>75</v>
      </c>
      <c r="E734" s="26">
        <v>0.14000000000000001</v>
      </c>
      <c r="F734" s="27" t="s">
        <v>470</v>
      </c>
      <c r="G734" s="23">
        <v>2.1755</v>
      </c>
      <c r="H734" s="27" t="s">
        <v>475</v>
      </c>
      <c r="I734" s="23">
        <f>IF(ISNUMBER(G734),E734*G734,"")</f>
        <v>0.30457000000000001</v>
      </c>
      <c r="J734" s="24"/>
      <c r="K734" s="19"/>
      <c r="L734" s="174">
        <v>0</v>
      </c>
    </row>
    <row r="735" spans="1:12" ht="15.75" hidden="1" thickBot="1" x14ac:dyDescent="0.3">
      <c r="A735" s="181"/>
      <c r="B735" s="179"/>
      <c r="C735" s="25"/>
      <c r="D735" s="25"/>
      <c r="E735" s="26"/>
      <c r="F735" s="27"/>
      <c r="G735" s="23" t="s">
        <v>1079</v>
      </c>
      <c r="H735" s="27"/>
      <c r="I735" s="23" t="str">
        <f>IF(ISNUMBER(G735),E735*G735,"")</f>
        <v/>
      </c>
      <c r="J735" s="24"/>
      <c r="K735" s="19"/>
      <c r="L735" s="174">
        <v>0</v>
      </c>
    </row>
    <row r="736" spans="1:12" ht="15.75" hidden="1" thickBot="1" x14ac:dyDescent="0.3">
      <c r="A736" s="180" t="s">
        <v>545</v>
      </c>
      <c r="B736" s="178" t="str">
        <f>INDEX(Orçamentária!A:B,MATCH(Composições!A736,Orçamentária!A:A,0),2)</f>
        <v>Instalação de divisória e porta de divisória com dobradiça reaproveitadas</v>
      </c>
      <c r="C736" s="30"/>
      <c r="D736" s="13" t="str">
        <f>TRIM(INDEX(Orçamentária!C:C,MATCH(Composições!A736,Orçamentária!A:A,0),1))</f>
        <v>m2</v>
      </c>
      <c r="E736" s="14"/>
      <c r="F736" s="15" t="s">
        <v>546</v>
      </c>
      <c r="G736" s="31" t="s">
        <v>1079</v>
      </c>
      <c r="H736" s="16"/>
      <c r="I736" s="16" t="str">
        <f>IF(ISNUMBER(G736),E736*G736,"")</f>
        <v/>
      </c>
      <c r="J736" s="17"/>
      <c r="K736" s="18"/>
      <c r="L736" s="174">
        <v>0</v>
      </c>
    </row>
    <row r="737" spans="1:12" ht="15.75" hidden="1" thickBot="1" x14ac:dyDescent="0.3">
      <c r="A737" s="181"/>
      <c r="B737" s="179"/>
      <c r="C737" s="20"/>
      <c r="D737" s="20"/>
      <c r="E737" s="21"/>
      <c r="F737" s="22"/>
      <c r="G737" s="32" t="s">
        <v>1079</v>
      </c>
      <c r="H737" s="20"/>
      <c r="I737" s="19" t="str">
        <f>IF(ISNUMBER(G737),E737*G737,"")</f>
        <v/>
      </c>
      <c r="J737" s="24"/>
      <c r="K737" s="19"/>
      <c r="L737" s="174">
        <v>0</v>
      </c>
    </row>
    <row r="738" spans="1:12" ht="26.25" hidden="1" thickBot="1" x14ac:dyDescent="0.3">
      <c r="A738" s="181"/>
      <c r="B738" s="179"/>
      <c r="C738" s="25" t="s">
        <v>547</v>
      </c>
      <c r="D738" s="36" t="s">
        <v>21</v>
      </c>
      <c r="E738" s="26">
        <v>1</v>
      </c>
      <c r="F738" s="27" t="s">
        <v>548</v>
      </c>
      <c r="G738" s="19">
        <v>0.95</v>
      </c>
      <c r="H738" s="27" t="s">
        <v>549</v>
      </c>
      <c r="I738" s="23">
        <f>IF(ISNUMBER(G738),E738*G738,"")</f>
        <v>0.95</v>
      </c>
      <c r="J738" s="28">
        <f>SUM(I738:I738)</f>
        <v>0.95</v>
      </c>
      <c r="K738" s="29"/>
      <c r="L738" s="174">
        <v>0</v>
      </c>
    </row>
    <row r="739" spans="1:12" ht="15.75" hidden="1" thickBot="1" x14ac:dyDescent="0.3">
      <c r="A739" s="182"/>
      <c r="B739" s="183"/>
      <c r="C739" s="25"/>
      <c r="D739" s="25"/>
      <c r="E739" s="26"/>
      <c r="F739" s="27"/>
      <c r="G739" s="19" t="s">
        <v>1079</v>
      </c>
      <c r="H739" s="27"/>
      <c r="I739" s="19" t="str">
        <f>IF(ISNUMBER(G739),E739*G739,"")</f>
        <v/>
      </c>
      <c r="J739" s="24"/>
      <c r="K739" s="19"/>
      <c r="L739" s="174">
        <v>0</v>
      </c>
    </row>
    <row r="740" spans="1:12" ht="15.75" thickBot="1" x14ac:dyDescent="0.3">
      <c r="A740" s="288" t="s">
        <v>550</v>
      </c>
      <c r="B740" s="289" t="str">
        <f>INDEX(Orçamentária!A:B,MATCH(Composições!A740,Orçamentária!A:A,0),2)</f>
        <v>Alçapão em forro de gesso acartonado</v>
      </c>
      <c r="C740" s="274"/>
      <c r="D740" s="265" t="str">
        <f>TRIM(INDEX(Orçamentária!C:C,MATCH(Composições!A740,Orçamentária!A:A,0),1))</f>
        <v>m2</v>
      </c>
      <c r="E740" s="290"/>
      <c r="F740" s="259" t="s">
        <v>17</v>
      </c>
      <c r="G740" s="260" t="s">
        <v>1079</v>
      </c>
      <c r="H740" s="261"/>
      <c r="I740" s="261" t="str">
        <f>IF(ISNUMBER(G740),E740*G740,"")</f>
        <v/>
      </c>
      <c r="J740" s="280"/>
      <c r="K740" s="18"/>
      <c r="L740" s="174">
        <v>4.68</v>
      </c>
    </row>
    <row r="741" spans="1:12" x14ac:dyDescent="0.25">
      <c r="A741" s="291"/>
      <c r="B741" s="292"/>
      <c r="C741" s="155"/>
      <c r="D741" s="155"/>
      <c r="E741" s="293"/>
      <c r="F741" s="294"/>
      <c r="G741" s="262" t="s">
        <v>1079</v>
      </c>
      <c r="H741" s="155"/>
      <c r="I741" s="257" t="str">
        <f>IF(ISNUMBER(G741),E741*G741,"")</f>
        <v/>
      </c>
      <c r="J741" s="281"/>
      <c r="K741" s="19"/>
      <c r="L741" s="174">
        <v>4.68</v>
      </c>
    </row>
    <row r="742" spans="1:12" ht="25.5" x14ac:dyDescent="0.25">
      <c r="A742" s="291"/>
      <c r="B742" s="292"/>
      <c r="C742" s="105" t="s">
        <v>551</v>
      </c>
      <c r="D742" s="271" t="s">
        <v>184</v>
      </c>
      <c r="E742" s="250">
        <f>2*(1.5+0.67)</f>
        <v>4.34</v>
      </c>
      <c r="F742" s="176" t="s">
        <v>17</v>
      </c>
      <c r="G742" s="258">
        <v>2.6315</v>
      </c>
      <c r="H742" s="176" t="s">
        <v>552</v>
      </c>
      <c r="I742" s="258">
        <f>IF(ISNUMBER(G742),E742*G742,"")</f>
        <v>11.42071</v>
      </c>
      <c r="J742" s="295">
        <f>SUM(I742:I745)</f>
        <v>85.563709999999986</v>
      </c>
      <c r="K742" s="29"/>
      <c r="L742" s="174">
        <v>4.68</v>
      </c>
    </row>
    <row r="743" spans="1:12" x14ac:dyDescent="0.25">
      <c r="A743" s="291"/>
      <c r="B743" s="292"/>
      <c r="C743" s="105" t="s">
        <v>553</v>
      </c>
      <c r="D743" s="271" t="s">
        <v>189</v>
      </c>
      <c r="E743" s="250">
        <f>0.36/0.6/0.6</f>
        <v>1</v>
      </c>
      <c r="F743" s="176" t="s">
        <v>17</v>
      </c>
      <c r="G743" s="258">
        <v>40.76</v>
      </c>
      <c r="H743" s="176" t="s">
        <v>33</v>
      </c>
      <c r="I743" s="258">
        <f>IF(ISNUMBER(G743),E743*G743,"")</f>
        <v>40.76</v>
      </c>
      <c r="J743" s="281"/>
      <c r="K743" s="19"/>
      <c r="L743" s="174">
        <v>4.68</v>
      </c>
    </row>
    <row r="744" spans="1:12" x14ac:dyDescent="0.25">
      <c r="A744" s="291"/>
      <c r="B744" s="292"/>
      <c r="C744" s="105" t="s">
        <v>385</v>
      </c>
      <c r="D744" s="271" t="s">
        <v>21</v>
      </c>
      <c r="E744" s="250">
        <v>1</v>
      </c>
      <c r="F744" s="176" t="s">
        <v>17</v>
      </c>
      <c r="G744" s="257">
        <v>19.056999999999999</v>
      </c>
      <c r="H744" s="176" t="s">
        <v>387</v>
      </c>
      <c r="I744" s="258">
        <f>IF(ISNUMBER(G744),E744*G744,"")</f>
        <v>19.056999999999999</v>
      </c>
      <c r="J744" s="281"/>
      <c r="K744" s="19"/>
      <c r="L744" s="174">
        <v>4.68</v>
      </c>
    </row>
    <row r="745" spans="1:12" x14ac:dyDescent="0.25">
      <c r="A745" s="291"/>
      <c r="B745" s="292"/>
      <c r="C745" s="105" t="s">
        <v>38</v>
      </c>
      <c r="D745" s="271" t="s">
        <v>21</v>
      </c>
      <c r="E745" s="250">
        <v>1</v>
      </c>
      <c r="F745" s="176" t="s">
        <v>17</v>
      </c>
      <c r="G745" s="257">
        <v>14.325999999999999</v>
      </c>
      <c r="H745" s="176" t="s">
        <v>39</v>
      </c>
      <c r="I745" s="258">
        <f>IF(ISNUMBER(G745),E745*G745,"")</f>
        <v>14.325999999999999</v>
      </c>
      <c r="J745" s="281"/>
      <c r="K745" s="19"/>
      <c r="L745" s="174">
        <v>4.68</v>
      </c>
    </row>
    <row r="746" spans="1:12" ht="15.75" thickBot="1" x14ac:dyDescent="0.3">
      <c r="A746" s="296"/>
      <c r="B746" s="297"/>
      <c r="C746" s="105"/>
      <c r="D746" s="105"/>
      <c r="E746" s="250"/>
      <c r="F746" s="176"/>
      <c r="G746" s="257" t="s">
        <v>1079</v>
      </c>
      <c r="H746" s="176"/>
      <c r="I746" s="257" t="str">
        <f>IF(ISNUMBER(G746),E746*G746,"")</f>
        <v/>
      </c>
      <c r="J746" s="281"/>
      <c r="K746" s="19"/>
      <c r="L746" s="174">
        <v>4.68</v>
      </c>
    </row>
    <row r="747" spans="1:12" ht="15.75" hidden="1" thickBot="1" x14ac:dyDescent="0.3">
      <c r="A747" s="180" t="s">
        <v>554</v>
      </c>
      <c r="B747" s="178" t="str">
        <f>INDEX(Orçamentária!A:B,MATCH(Composições!A747,Orçamentária!A:A,0),2)</f>
        <v>Forro de PVC em réguas de 100 x 6000mm</v>
      </c>
      <c r="C747" s="30"/>
      <c r="D747" s="13" t="str">
        <f>TRIM(INDEX(Orçamentária!C:C,MATCH(Composições!A747,Orçamentária!A:A,0),1))</f>
        <v>m2</v>
      </c>
      <c r="E747" s="14"/>
      <c r="F747" s="15" t="s">
        <v>555</v>
      </c>
      <c r="G747" s="31" t="s">
        <v>1079</v>
      </c>
      <c r="H747" s="16"/>
      <c r="I747" s="16" t="str">
        <f>IF(ISNUMBER(G747),E747*G747,"")</f>
        <v/>
      </c>
      <c r="J747" s="17"/>
      <c r="K747" s="18"/>
      <c r="L747" s="174">
        <v>0</v>
      </c>
    </row>
    <row r="748" spans="1:12" ht="15.75" hidden="1" thickBot="1" x14ac:dyDescent="0.3">
      <c r="A748" s="181"/>
      <c r="B748" s="179"/>
      <c r="C748" s="20"/>
      <c r="D748" s="20"/>
      <c r="E748" s="21"/>
      <c r="F748" s="22"/>
      <c r="G748" s="32" t="s">
        <v>1079</v>
      </c>
      <c r="H748" s="20"/>
      <c r="I748" s="19" t="str">
        <f>IF(ISNUMBER(G748),E748*G748,"")</f>
        <v/>
      </c>
      <c r="J748" s="24"/>
      <c r="K748" s="19"/>
      <c r="L748" s="174">
        <v>0</v>
      </c>
    </row>
    <row r="749" spans="1:12" ht="26.25" hidden="1" thickBot="1" x14ac:dyDescent="0.3">
      <c r="A749" s="181"/>
      <c r="B749" s="179"/>
      <c r="C749" s="25" t="s">
        <v>556</v>
      </c>
      <c r="D749" s="36" t="s">
        <v>75</v>
      </c>
      <c r="E749" s="26">
        <v>4.2599999999999999E-2</v>
      </c>
      <c r="F749" s="27" t="s">
        <v>557</v>
      </c>
      <c r="G749" s="23">
        <v>14.430499999999999</v>
      </c>
      <c r="H749" s="27" t="s">
        <v>558</v>
      </c>
      <c r="I749" s="19">
        <f>IF(ISNUMBER(G749),E749*G749,"")</f>
        <v>0.61473929999999988</v>
      </c>
      <c r="J749" s="28">
        <f>SUM(I749:I756)</f>
        <v>36.954845149999997</v>
      </c>
      <c r="K749" s="29"/>
      <c r="L749" s="174">
        <v>0</v>
      </c>
    </row>
    <row r="750" spans="1:12" ht="26.25" hidden="1" thickBot="1" x14ac:dyDescent="0.3">
      <c r="A750" s="181"/>
      <c r="B750" s="179"/>
      <c r="C750" s="25" t="s">
        <v>559</v>
      </c>
      <c r="D750" s="36" t="s">
        <v>189</v>
      </c>
      <c r="E750" s="26">
        <v>1.0955999999999999</v>
      </c>
      <c r="F750" s="27" t="s">
        <v>557</v>
      </c>
      <c r="G750" s="23">
        <v>12.35</v>
      </c>
      <c r="H750" s="27" t="s">
        <v>560</v>
      </c>
      <c r="I750" s="19">
        <f>IF(ISNUMBER(G750),E750*G750,"")</f>
        <v>13.530659999999999</v>
      </c>
      <c r="J750" s="24"/>
      <c r="K750" s="19"/>
      <c r="L750" s="174">
        <v>0</v>
      </c>
    </row>
    <row r="751" spans="1:12" ht="26.25" hidden="1" thickBot="1" x14ac:dyDescent="0.3">
      <c r="A751" s="181"/>
      <c r="B751" s="179"/>
      <c r="C751" s="25" t="s">
        <v>561</v>
      </c>
      <c r="D751" s="36" t="s">
        <v>184</v>
      </c>
      <c r="E751" s="26">
        <v>3.8498999999999999</v>
      </c>
      <c r="F751" s="27" t="s">
        <v>557</v>
      </c>
      <c r="G751" s="23">
        <v>3.1349999999999998</v>
      </c>
      <c r="H751" s="27" t="s">
        <v>562</v>
      </c>
      <c r="I751" s="19">
        <f>IF(ISNUMBER(G751),E751*G751,"")</f>
        <v>12.069436499999998</v>
      </c>
      <c r="J751" s="24"/>
      <c r="K751" s="19"/>
      <c r="L751" s="174">
        <v>0</v>
      </c>
    </row>
    <row r="752" spans="1:12" ht="26.25" hidden="1" thickBot="1" x14ac:dyDescent="0.3">
      <c r="A752" s="181"/>
      <c r="B752" s="179"/>
      <c r="C752" s="25" t="s">
        <v>563</v>
      </c>
      <c r="D752" s="36" t="s">
        <v>32</v>
      </c>
      <c r="E752" s="26">
        <v>1.3265</v>
      </c>
      <c r="F752" s="27" t="s">
        <v>557</v>
      </c>
      <c r="G752" s="23">
        <v>1.1779999999999999</v>
      </c>
      <c r="H752" s="27" t="s">
        <v>564</v>
      </c>
      <c r="I752" s="19">
        <f>IF(ISNUMBER(G752),E752*G752,"")</f>
        <v>1.5626169999999999</v>
      </c>
      <c r="J752" s="24"/>
      <c r="K752" s="19"/>
      <c r="L752" s="174">
        <v>0</v>
      </c>
    </row>
    <row r="753" spans="1:12" ht="26.25" hidden="1" thickBot="1" x14ac:dyDescent="0.3">
      <c r="A753" s="181"/>
      <c r="B753" s="179"/>
      <c r="C753" s="25" t="s">
        <v>346</v>
      </c>
      <c r="D753" s="36" t="s">
        <v>32</v>
      </c>
      <c r="E753" s="26">
        <v>2.1911999999999998</v>
      </c>
      <c r="F753" s="27" t="s">
        <v>557</v>
      </c>
      <c r="G753" s="23">
        <v>0.18049999999999999</v>
      </c>
      <c r="H753" s="27" t="s">
        <v>347</v>
      </c>
      <c r="I753" s="19">
        <f>IF(ISNUMBER(G753),E753*G753,"")</f>
        <v>0.39551159999999996</v>
      </c>
      <c r="J753" s="24"/>
      <c r="K753" s="19"/>
      <c r="L753" s="174">
        <v>0</v>
      </c>
    </row>
    <row r="754" spans="1:12" ht="26.25" hidden="1" thickBot="1" x14ac:dyDescent="0.3">
      <c r="A754" s="181"/>
      <c r="B754" s="179"/>
      <c r="C754" s="25" t="s">
        <v>565</v>
      </c>
      <c r="D754" s="36" t="s">
        <v>324</v>
      </c>
      <c r="E754" s="26">
        <v>1.32E-2</v>
      </c>
      <c r="F754" s="27" t="s">
        <v>557</v>
      </c>
      <c r="G754" s="23">
        <v>20.387</v>
      </c>
      <c r="H754" s="27" t="s">
        <v>566</v>
      </c>
      <c r="I754" s="19">
        <f>IF(ISNUMBER(G754),E754*G754,"")</f>
        <v>0.26910840000000003</v>
      </c>
      <c r="J754" s="24"/>
      <c r="K754" s="19"/>
      <c r="L754" s="174">
        <v>0</v>
      </c>
    </row>
    <row r="755" spans="1:12" ht="26.25" hidden="1" thickBot="1" x14ac:dyDescent="0.3">
      <c r="A755" s="181"/>
      <c r="B755" s="179"/>
      <c r="C755" s="25" t="s">
        <v>567</v>
      </c>
      <c r="D755" s="36" t="s">
        <v>324</v>
      </c>
      <c r="E755" s="26">
        <v>3.3300000000000003E-2</v>
      </c>
      <c r="F755" s="27" t="s">
        <v>557</v>
      </c>
      <c r="G755" s="23">
        <v>34.950499999999998</v>
      </c>
      <c r="H755" s="27" t="s">
        <v>568</v>
      </c>
      <c r="I755" s="19">
        <f>IF(ISNUMBER(G755),E755*G755,"")</f>
        <v>1.16385165</v>
      </c>
      <c r="J755" s="24"/>
      <c r="K755" s="19"/>
      <c r="L755" s="174">
        <v>0</v>
      </c>
    </row>
    <row r="756" spans="1:12" ht="15.75" hidden="1" thickBot="1" x14ac:dyDescent="0.3">
      <c r="A756" s="181"/>
      <c r="B756" s="179"/>
      <c r="C756" s="25" t="s">
        <v>48</v>
      </c>
      <c r="D756" s="36" t="s">
        <v>21</v>
      </c>
      <c r="E756" s="26">
        <v>0.49940000000000001</v>
      </c>
      <c r="F756" s="27" t="s">
        <v>557</v>
      </c>
      <c r="G756" s="19">
        <v>14.715499999999999</v>
      </c>
      <c r="H756" s="27" t="s">
        <v>49</v>
      </c>
      <c r="I756" s="19">
        <f>IF(ISNUMBER(G756),E756*G756,"")</f>
        <v>7.3489206999999999</v>
      </c>
      <c r="J756" s="24"/>
      <c r="K756" s="19"/>
      <c r="L756" s="174">
        <v>0</v>
      </c>
    </row>
    <row r="757" spans="1:12" ht="15.75" hidden="1" thickBot="1" x14ac:dyDescent="0.3">
      <c r="A757" s="182"/>
      <c r="B757" s="183"/>
      <c r="C757" s="25"/>
      <c r="D757" s="25"/>
      <c r="E757" s="26"/>
      <c r="F757" s="27"/>
      <c r="G757" s="19" t="s">
        <v>1079</v>
      </c>
      <c r="H757" s="27"/>
      <c r="I757" s="19" t="str">
        <f>IF(ISNUMBER(G757),E757*G757,"")</f>
        <v/>
      </c>
      <c r="J757" s="24"/>
      <c r="K757" s="19"/>
      <c r="L757" s="174">
        <v>0</v>
      </c>
    </row>
    <row r="758" spans="1:12" ht="15.75" hidden="1" thickBot="1" x14ac:dyDescent="0.3">
      <c r="A758" s="180" t="s">
        <v>569</v>
      </c>
      <c r="B758" s="178" t="str">
        <f>INDEX(Orçamentária!A:B,MATCH(Composições!A758,Orçamentária!A:A,0),2)</f>
        <v>Forro de PVC em réguas de 100 x 6000mm, sem estrutura</v>
      </c>
      <c r="C758" s="30"/>
      <c r="D758" s="13" t="str">
        <f>TRIM(INDEX(Orçamentária!C:C,MATCH(Composições!A758,Orçamentária!A:A,0),1))</f>
        <v>m2</v>
      </c>
      <c r="E758" s="14"/>
      <c r="F758" s="15" t="s">
        <v>555</v>
      </c>
      <c r="G758" s="31" t="s">
        <v>1079</v>
      </c>
      <c r="H758" s="16"/>
      <c r="I758" s="16" t="str">
        <f>IF(ISNUMBER(G758),E758*G758,"")</f>
        <v/>
      </c>
      <c r="J758" s="17"/>
      <c r="K758" s="18"/>
      <c r="L758" s="174">
        <v>0</v>
      </c>
    </row>
    <row r="759" spans="1:12" ht="15.75" hidden="1" thickBot="1" x14ac:dyDescent="0.3">
      <c r="A759" s="181"/>
      <c r="B759" s="179"/>
      <c r="C759" s="20"/>
      <c r="D759" s="20"/>
      <c r="E759" s="21"/>
      <c r="F759" s="22"/>
      <c r="G759" s="32" t="s">
        <v>1079</v>
      </c>
      <c r="H759" s="20"/>
      <c r="I759" s="19" t="str">
        <f>IF(ISNUMBER(G759),E759*G759,"")</f>
        <v/>
      </c>
      <c r="J759" s="24"/>
      <c r="K759" s="19"/>
      <c r="L759" s="174">
        <v>0</v>
      </c>
    </row>
    <row r="760" spans="1:12" ht="26.25" hidden="1" thickBot="1" x14ac:dyDescent="0.3">
      <c r="A760" s="181"/>
      <c r="B760" s="179"/>
      <c r="C760" s="25" t="s">
        <v>559</v>
      </c>
      <c r="D760" s="36" t="s">
        <v>189</v>
      </c>
      <c r="E760" s="26">
        <v>1.0955999999999999</v>
      </c>
      <c r="F760" s="27" t="s">
        <v>570</v>
      </c>
      <c r="G760" s="23">
        <v>12.35</v>
      </c>
      <c r="H760" s="27" t="s">
        <v>560</v>
      </c>
      <c r="I760" s="19">
        <f>IF(ISNUMBER(G760),E760*G760,"")</f>
        <v>13.530659999999999</v>
      </c>
      <c r="J760" s="28">
        <f>SUM(I760:I762)</f>
        <v>16.130553499999998</v>
      </c>
      <c r="K760" s="29"/>
      <c r="L760" s="174">
        <v>0</v>
      </c>
    </row>
    <row r="761" spans="1:12" ht="26.25" hidden="1" thickBot="1" x14ac:dyDescent="0.3">
      <c r="A761" s="181"/>
      <c r="B761" s="179"/>
      <c r="C761" s="25" t="s">
        <v>346</v>
      </c>
      <c r="D761" s="36" t="s">
        <v>32</v>
      </c>
      <c r="E761" s="26">
        <v>2.1911999999999998</v>
      </c>
      <c r="F761" s="27" t="s">
        <v>570</v>
      </c>
      <c r="G761" s="23">
        <v>0.18049999999999999</v>
      </c>
      <c r="H761" s="27" t="s">
        <v>347</v>
      </c>
      <c r="I761" s="23">
        <f>IF(ISNUMBER(G761),E761*G761,"")</f>
        <v>0.39551159999999996</v>
      </c>
      <c r="J761" s="33"/>
      <c r="K761" s="29"/>
      <c r="L761" s="174">
        <v>0</v>
      </c>
    </row>
    <row r="762" spans="1:12" ht="15.75" hidden="1" thickBot="1" x14ac:dyDescent="0.3">
      <c r="A762" s="181"/>
      <c r="B762" s="179"/>
      <c r="C762" s="25" t="s">
        <v>48</v>
      </c>
      <c r="D762" s="36" t="s">
        <v>21</v>
      </c>
      <c r="E762" s="26">
        <f>ROUND(0.4994*0.3,4)</f>
        <v>0.14979999999999999</v>
      </c>
      <c r="F762" s="27" t="s">
        <v>570</v>
      </c>
      <c r="G762" s="19">
        <v>14.715499999999999</v>
      </c>
      <c r="H762" s="27" t="s">
        <v>49</v>
      </c>
      <c r="I762" s="23">
        <f>IF(ISNUMBER(G762),E762*G762,"")</f>
        <v>2.2043818999999996</v>
      </c>
      <c r="J762" s="24"/>
      <c r="K762" s="19"/>
      <c r="L762" s="174">
        <v>0</v>
      </c>
    </row>
    <row r="763" spans="1:12" ht="15.75" hidden="1" thickBot="1" x14ac:dyDescent="0.3">
      <c r="A763" s="182"/>
      <c r="B763" s="183"/>
      <c r="C763" s="25"/>
      <c r="D763" s="25"/>
      <c r="E763" s="26"/>
      <c r="F763" s="27"/>
      <c r="G763" s="19" t="s">
        <v>1079</v>
      </c>
      <c r="H763" s="27"/>
      <c r="I763" s="19" t="str">
        <f>IF(ISNUMBER(G763),E763*G763,"")</f>
        <v/>
      </c>
      <c r="J763" s="24"/>
      <c r="K763" s="19"/>
      <c r="L763" s="174">
        <v>0</v>
      </c>
    </row>
    <row r="764" spans="1:12" ht="15.75" hidden="1" thickBot="1" x14ac:dyDescent="0.3">
      <c r="A764" s="180" t="s">
        <v>571</v>
      </c>
      <c r="B764" s="178" t="str">
        <f>INDEX(Orçamentária!A:B,MATCH(Composições!A764,Orçamentária!A:A,0),2)</f>
        <v>Forro de PVC modular em placas</v>
      </c>
      <c r="C764" s="30"/>
      <c r="D764" s="13" t="str">
        <f>TRIM(INDEX(Orçamentária!C:C,MATCH(Composições!A764,Orçamentária!A:A,0),1))</f>
        <v>m2</v>
      </c>
      <c r="E764" s="14"/>
      <c r="F764" s="15" t="s">
        <v>555</v>
      </c>
      <c r="G764" s="31" t="s">
        <v>1079</v>
      </c>
      <c r="H764" s="16"/>
      <c r="I764" s="16" t="str">
        <f>IF(ISNUMBER(G764),E764*G764,"")</f>
        <v/>
      </c>
      <c r="J764" s="17"/>
      <c r="K764" s="18"/>
      <c r="L764" s="174">
        <v>0</v>
      </c>
    </row>
    <row r="765" spans="1:12" ht="15.75" hidden="1" thickBot="1" x14ac:dyDescent="0.3">
      <c r="A765" s="186"/>
      <c r="B765" s="179"/>
      <c r="C765" s="20"/>
      <c r="D765" s="20"/>
      <c r="E765" s="21"/>
      <c r="F765" s="22"/>
      <c r="G765" s="32" t="s">
        <v>1079</v>
      </c>
      <c r="H765" s="20"/>
      <c r="I765" s="19" t="str">
        <f>IF(ISNUMBER(G765),E765*G765,"")</f>
        <v/>
      </c>
      <c r="J765" s="24"/>
      <c r="K765" s="19"/>
      <c r="L765" s="174">
        <v>0</v>
      </c>
    </row>
    <row r="766" spans="1:12" ht="26.25" hidden="1" thickBot="1" x14ac:dyDescent="0.3">
      <c r="A766" s="186"/>
      <c r="B766" s="179"/>
      <c r="C766" s="25" t="s">
        <v>556</v>
      </c>
      <c r="D766" s="36" t="s">
        <v>75</v>
      </c>
      <c r="E766" s="26">
        <v>4.2599999999999999E-2</v>
      </c>
      <c r="F766" s="27" t="s">
        <v>557</v>
      </c>
      <c r="G766" s="23">
        <v>14.430499999999999</v>
      </c>
      <c r="H766" s="27" t="s">
        <v>558</v>
      </c>
      <c r="I766" s="19">
        <f>IF(ISNUMBER(G766),E766*G766,"")</f>
        <v>0.61473929999999988</v>
      </c>
      <c r="J766" s="28">
        <f>SUM(I766:I773)</f>
        <v>23.42418515</v>
      </c>
      <c r="K766" s="29"/>
      <c r="L766" s="174">
        <v>0</v>
      </c>
    </row>
    <row r="767" spans="1:12" ht="15.75" hidden="1" thickBot="1" x14ac:dyDescent="0.3">
      <c r="A767" s="186"/>
      <c r="B767" s="179"/>
      <c r="C767" s="25" t="s">
        <v>572</v>
      </c>
      <c r="D767" s="36" t="s">
        <v>189</v>
      </c>
      <c r="E767" s="26">
        <v>1.0955999999999999</v>
      </c>
      <c r="F767" s="27" t="s">
        <v>557</v>
      </c>
      <c r="G767" s="23" t="s">
        <v>1079</v>
      </c>
      <c r="H767" s="27" t="s">
        <v>33</v>
      </c>
      <c r="I767" s="19" t="str">
        <f>IF(ISNUMBER(G767),E767*G767,"")</f>
        <v/>
      </c>
      <c r="J767" s="24"/>
      <c r="K767" s="19"/>
      <c r="L767" s="174">
        <v>0</v>
      </c>
    </row>
    <row r="768" spans="1:12" ht="26.25" hidden="1" thickBot="1" x14ac:dyDescent="0.3">
      <c r="A768" s="186"/>
      <c r="B768" s="179"/>
      <c r="C768" s="25" t="s">
        <v>561</v>
      </c>
      <c r="D768" s="36" t="s">
        <v>184</v>
      </c>
      <c r="E768" s="26">
        <v>3.8498999999999999</v>
      </c>
      <c r="F768" s="27" t="s">
        <v>557</v>
      </c>
      <c r="G768" s="23">
        <v>3.1349999999999998</v>
      </c>
      <c r="H768" s="27" t="s">
        <v>562</v>
      </c>
      <c r="I768" s="19">
        <f>IF(ISNUMBER(G768),E768*G768,"")</f>
        <v>12.069436499999998</v>
      </c>
      <c r="J768" s="24"/>
      <c r="K768" s="19"/>
      <c r="L768" s="174">
        <v>0</v>
      </c>
    </row>
    <row r="769" spans="1:12" ht="26.25" hidden="1" thickBot="1" x14ac:dyDescent="0.3">
      <c r="A769" s="186"/>
      <c r="B769" s="179"/>
      <c r="C769" s="25" t="s">
        <v>563</v>
      </c>
      <c r="D769" s="36" t="s">
        <v>32</v>
      </c>
      <c r="E769" s="26">
        <v>1.3265</v>
      </c>
      <c r="F769" s="27" t="s">
        <v>557</v>
      </c>
      <c r="G769" s="23">
        <v>1.1779999999999999</v>
      </c>
      <c r="H769" s="27" t="s">
        <v>564</v>
      </c>
      <c r="I769" s="19">
        <f>IF(ISNUMBER(G769),E769*G769,"")</f>
        <v>1.5626169999999999</v>
      </c>
      <c r="J769" s="24"/>
      <c r="K769" s="19"/>
      <c r="L769" s="174">
        <v>0</v>
      </c>
    </row>
    <row r="770" spans="1:12" ht="26.25" hidden="1" thickBot="1" x14ac:dyDescent="0.3">
      <c r="A770" s="186"/>
      <c r="B770" s="179"/>
      <c r="C770" s="25" t="s">
        <v>346</v>
      </c>
      <c r="D770" s="36" t="s">
        <v>32</v>
      </c>
      <c r="E770" s="26">
        <v>2.1911999999999998</v>
      </c>
      <c r="F770" s="27" t="s">
        <v>557</v>
      </c>
      <c r="G770" s="23">
        <v>0.18049999999999999</v>
      </c>
      <c r="H770" s="27" t="s">
        <v>347</v>
      </c>
      <c r="I770" s="19">
        <f>IF(ISNUMBER(G770),E770*G770,"")</f>
        <v>0.39551159999999996</v>
      </c>
      <c r="J770" s="24"/>
      <c r="K770" s="19"/>
      <c r="L770" s="174">
        <v>0</v>
      </c>
    </row>
    <row r="771" spans="1:12" ht="26.25" hidden="1" thickBot="1" x14ac:dyDescent="0.3">
      <c r="A771" s="186"/>
      <c r="B771" s="179"/>
      <c r="C771" s="25" t="s">
        <v>565</v>
      </c>
      <c r="D771" s="36" t="s">
        <v>324</v>
      </c>
      <c r="E771" s="26">
        <v>1.32E-2</v>
      </c>
      <c r="F771" s="27" t="s">
        <v>557</v>
      </c>
      <c r="G771" s="23">
        <v>20.387</v>
      </c>
      <c r="H771" s="27" t="s">
        <v>566</v>
      </c>
      <c r="I771" s="19">
        <f>IF(ISNUMBER(G771),E771*G771,"")</f>
        <v>0.26910840000000003</v>
      </c>
      <c r="J771" s="24"/>
      <c r="K771" s="19"/>
      <c r="L771" s="174">
        <v>0</v>
      </c>
    </row>
    <row r="772" spans="1:12" ht="26.25" hidden="1" thickBot="1" x14ac:dyDescent="0.3">
      <c r="A772" s="186"/>
      <c r="B772" s="179"/>
      <c r="C772" s="25" t="s">
        <v>567</v>
      </c>
      <c r="D772" s="36" t="s">
        <v>324</v>
      </c>
      <c r="E772" s="26">
        <v>3.3300000000000003E-2</v>
      </c>
      <c r="F772" s="27" t="s">
        <v>557</v>
      </c>
      <c r="G772" s="23">
        <v>34.950499999999998</v>
      </c>
      <c r="H772" s="27" t="s">
        <v>568</v>
      </c>
      <c r="I772" s="19">
        <f>IF(ISNUMBER(G772),E772*G772,"")</f>
        <v>1.16385165</v>
      </c>
      <c r="J772" s="24"/>
      <c r="K772" s="19"/>
      <c r="L772" s="174">
        <v>0</v>
      </c>
    </row>
    <row r="773" spans="1:12" ht="15.75" hidden="1" thickBot="1" x14ac:dyDescent="0.3">
      <c r="A773" s="186"/>
      <c r="B773" s="179"/>
      <c r="C773" s="25" t="s">
        <v>48</v>
      </c>
      <c r="D773" s="36" t="s">
        <v>21</v>
      </c>
      <c r="E773" s="26">
        <v>0.49940000000000001</v>
      </c>
      <c r="F773" s="27" t="s">
        <v>557</v>
      </c>
      <c r="G773" s="19">
        <v>14.715499999999999</v>
      </c>
      <c r="H773" s="27" t="s">
        <v>49</v>
      </c>
      <c r="I773" s="19">
        <f>IF(ISNUMBER(G773),E773*G773,"")</f>
        <v>7.3489206999999999</v>
      </c>
      <c r="J773" s="24"/>
      <c r="K773" s="19"/>
      <c r="L773" s="174">
        <v>0</v>
      </c>
    </row>
    <row r="774" spans="1:12" ht="15.75" hidden="1" thickBot="1" x14ac:dyDescent="0.3">
      <c r="A774" s="187"/>
      <c r="B774" s="183"/>
      <c r="C774" s="25"/>
      <c r="D774" s="25"/>
      <c r="E774" s="26"/>
      <c r="F774" s="27"/>
      <c r="G774" s="19" t="s">
        <v>1079</v>
      </c>
      <c r="H774" s="27"/>
      <c r="I774" s="19" t="str">
        <f>IF(ISNUMBER(G774),E774*G774,"")</f>
        <v/>
      </c>
      <c r="J774" s="24"/>
      <c r="K774" s="19"/>
      <c r="L774" s="174">
        <v>0</v>
      </c>
    </row>
    <row r="775" spans="1:12" ht="15.75" hidden="1" thickBot="1" x14ac:dyDescent="0.3">
      <c r="A775" s="180" t="s">
        <v>573</v>
      </c>
      <c r="B775" s="178" t="str">
        <f>INDEX(Orçamentária!A:B,MATCH(Composições!A775,Orçamentária!A:A,0),2)</f>
        <v>Forro em chapas metálicas</v>
      </c>
      <c r="C775" s="30"/>
      <c r="D775" s="13" t="str">
        <f>TRIM(INDEX(Orçamentária!C:C,MATCH(Composições!A775,Orçamentária!A:A,0),1))</f>
        <v>m2</v>
      </c>
      <c r="E775" s="14"/>
      <c r="F775" s="15" t="s">
        <v>574</v>
      </c>
      <c r="G775" s="31" t="s">
        <v>1079</v>
      </c>
      <c r="H775" s="16"/>
      <c r="I775" s="16" t="str">
        <f>IF(ISNUMBER(G775),E775*G775,"")</f>
        <v/>
      </c>
      <c r="J775" s="17"/>
      <c r="K775" s="18"/>
      <c r="L775" s="174">
        <v>0</v>
      </c>
    </row>
    <row r="776" spans="1:12" ht="15.75" hidden="1" thickBot="1" x14ac:dyDescent="0.3">
      <c r="A776" s="186"/>
      <c r="B776" s="179"/>
      <c r="C776" s="20"/>
      <c r="D776" s="20"/>
      <c r="E776" s="21"/>
      <c r="F776" s="22"/>
      <c r="G776" s="32" t="s">
        <v>1079</v>
      </c>
      <c r="H776" s="20"/>
      <c r="I776" s="19" t="str">
        <f>IF(ISNUMBER(G776),E776*G776,"")</f>
        <v/>
      </c>
      <c r="J776" s="24"/>
      <c r="K776" s="19"/>
      <c r="L776" s="174">
        <v>0</v>
      </c>
    </row>
    <row r="777" spans="1:12" ht="15.75" hidden="1" thickBot="1" x14ac:dyDescent="0.3">
      <c r="A777" s="186"/>
      <c r="B777" s="179"/>
      <c r="C777" s="25" t="s">
        <v>96</v>
      </c>
      <c r="D777" s="36" t="s">
        <v>21</v>
      </c>
      <c r="E777" s="26">
        <v>0.5</v>
      </c>
      <c r="F777" s="27" t="s">
        <v>575</v>
      </c>
      <c r="G777" s="23">
        <v>15.275999999999998</v>
      </c>
      <c r="H777" s="27" t="s">
        <v>98</v>
      </c>
      <c r="I777" s="19">
        <f>IF(ISNUMBER(G777),E777*G777,"")</f>
        <v>7.637999999999999</v>
      </c>
      <c r="J777" s="28">
        <f>SUM(I777:I780)</f>
        <v>14.995749999999997</v>
      </c>
      <c r="K777" s="29"/>
      <c r="L777" s="174">
        <v>0</v>
      </c>
    </row>
    <row r="778" spans="1:12" ht="15.75" hidden="1" thickBot="1" x14ac:dyDescent="0.3">
      <c r="A778" s="186"/>
      <c r="B778" s="179"/>
      <c r="C778" s="25" t="s">
        <v>48</v>
      </c>
      <c r="D778" s="36" t="s">
        <v>21</v>
      </c>
      <c r="E778" s="26">
        <v>0.5</v>
      </c>
      <c r="F778" s="27" t="s">
        <v>575</v>
      </c>
      <c r="G778" s="23">
        <v>14.715499999999999</v>
      </c>
      <c r="H778" s="27" t="s">
        <v>49</v>
      </c>
      <c r="I778" s="19">
        <f>IF(ISNUMBER(G778),E778*G778,"")</f>
        <v>7.3577499999999993</v>
      </c>
      <c r="J778" s="24"/>
      <c r="K778" s="19"/>
      <c r="L778" s="174">
        <v>0</v>
      </c>
    </row>
    <row r="779" spans="1:12" ht="15.75" hidden="1" thickBot="1" x14ac:dyDescent="0.3">
      <c r="A779" s="186"/>
      <c r="B779" s="179"/>
      <c r="C779" s="27" t="s">
        <v>576</v>
      </c>
      <c r="D779" s="25" t="s">
        <v>189</v>
      </c>
      <c r="E779" s="26">
        <v>1</v>
      </c>
      <c r="F779" s="27" t="s">
        <v>575</v>
      </c>
      <c r="G779" s="23" t="s">
        <v>1079</v>
      </c>
      <c r="H779" s="27" t="s">
        <v>33</v>
      </c>
      <c r="I779" s="19" t="str">
        <f>IF(ISNUMBER(G779),E779*G779,"")</f>
        <v/>
      </c>
      <c r="J779" s="24"/>
      <c r="K779" s="19"/>
      <c r="L779" s="174">
        <v>0</v>
      </c>
    </row>
    <row r="780" spans="1:12" ht="15.75" hidden="1" thickBot="1" x14ac:dyDescent="0.3">
      <c r="A780" s="186"/>
      <c r="B780" s="179"/>
      <c r="C780" s="27" t="s">
        <v>577</v>
      </c>
      <c r="D780" s="25" t="s">
        <v>189</v>
      </c>
      <c r="E780" s="26">
        <v>1</v>
      </c>
      <c r="F780" s="27" t="s">
        <v>17</v>
      </c>
      <c r="G780" s="23" t="s">
        <v>1079</v>
      </c>
      <c r="H780" s="27" t="s">
        <v>33</v>
      </c>
      <c r="I780" s="19" t="str">
        <f>IF(ISNUMBER(G780),E780*G780,"")</f>
        <v/>
      </c>
      <c r="J780" s="24"/>
      <c r="K780" s="19"/>
      <c r="L780" s="174">
        <v>0</v>
      </c>
    </row>
    <row r="781" spans="1:12" ht="15.75" hidden="1" thickBot="1" x14ac:dyDescent="0.3">
      <c r="A781" s="187"/>
      <c r="B781" s="183"/>
      <c r="C781" s="25"/>
      <c r="D781" s="25"/>
      <c r="E781" s="26"/>
      <c r="F781" s="27"/>
      <c r="G781" s="19" t="s">
        <v>1079</v>
      </c>
      <c r="H781" s="27"/>
      <c r="I781" s="19" t="str">
        <f>IF(ISNUMBER(G781),E781*G781,"")</f>
        <v/>
      </c>
      <c r="J781" s="24"/>
      <c r="K781" s="19"/>
      <c r="L781" s="174">
        <v>0</v>
      </c>
    </row>
    <row r="782" spans="1:12" ht="15.75" thickBot="1" x14ac:dyDescent="0.3">
      <c r="A782" s="288" t="s">
        <v>578</v>
      </c>
      <c r="B782" s="289" t="str">
        <f>INDEX(Orçamentária!A:B,MATCH(Composições!A782,Orçamentária!A:A,0),2)</f>
        <v>Forro em gesso acartonado monolítico</v>
      </c>
      <c r="C782" s="274"/>
      <c r="D782" s="265" t="str">
        <f>TRIM(INDEX(Orçamentária!C:C,MATCH(Composições!A782,Orçamentária!A:A,0),1))</f>
        <v>m2</v>
      </c>
      <c r="E782" s="290"/>
      <c r="F782" s="259" t="s">
        <v>579</v>
      </c>
      <c r="G782" s="260" t="s">
        <v>1079</v>
      </c>
      <c r="H782" s="261"/>
      <c r="I782" s="261" t="str">
        <f>IF(ISNUMBER(G782),E782*G782,"")</f>
        <v/>
      </c>
      <c r="J782" s="280"/>
      <c r="K782" s="18"/>
      <c r="L782" s="174">
        <v>63.63</v>
      </c>
    </row>
    <row r="783" spans="1:12" x14ac:dyDescent="0.25">
      <c r="A783" s="291"/>
      <c r="B783" s="292"/>
      <c r="C783" s="155"/>
      <c r="D783" s="155"/>
      <c r="E783" s="293"/>
      <c r="F783" s="294"/>
      <c r="G783" s="262" t="s">
        <v>1079</v>
      </c>
      <c r="H783" s="155"/>
      <c r="I783" s="257" t="str">
        <f>IF(ISNUMBER(G783),E783*G783,"")</f>
        <v/>
      </c>
      <c r="J783" s="281"/>
      <c r="K783" s="19"/>
      <c r="L783" s="174">
        <v>63.63</v>
      </c>
    </row>
    <row r="784" spans="1:12" ht="25.5" x14ac:dyDescent="0.25">
      <c r="A784" s="291"/>
      <c r="B784" s="292"/>
      <c r="C784" s="105" t="s">
        <v>556</v>
      </c>
      <c r="D784" s="271" t="s">
        <v>75</v>
      </c>
      <c r="E784" s="250">
        <v>4.2599999999999999E-2</v>
      </c>
      <c r="F784" s="176" t="s">
        <v>570</v>
      </c>
      <c r="G784" s="258">
        <v>14.430499999999999</v>
      </c>
      <c r="H784" s="176" t="s">
        <v>558</v>
      </c>
      <c r="I784" s="258">
        <f>IF(ISNUMBER(G784),E784*G784,"")</f>
        <v>0.61473929999999988</v>
      </c>
      <c r="J784" s="295">
        <f>SUM(I784:I794)</f>
        <v>54.563846599999991</v>
      </c>
      <c r="K784" s="29"/>
      <c r="L784" s="174">
        <v>63.63</v>
      </c>
    </row>
    <row r="785" spans="1:12" ht="25.5" x14ac:dyDescent="0.25">
      <c r="A785" s="291"/>
      <c r="B785" s="292"/>
      <c r="C785" s="105" t="s">
        <v>332</v>
      </c>
      <c r="D785" s="271" t="s">
        <v>189</v>
      </c>
      <c r="E785" s="250">
        <v>1.0966</v>
      </c>
      <c r="F785" s="176" t="s">
        <v>579</v>
      </c>
      <c r="G785" s="258">
        <v>20.177999999999997</v>
      </c>
      <c r="H785" s="176" t="s">
        <v>333</v>
      </c>
      <c r="I785" s="258">
        <f>IF(ISNUMBER(G785),E785*G785,"")</f>
        <v>22.127194799999998</v>
      </c>
      <c r="J785" s="282"/>
      <c r="K785" s="35"/>
      <c r="L785" s="174">
        <v>63.63</v>
      </c>
    </row>
    <row r="786" spans="1:12" ht="25.5" x14ac:dyDescent="0.25">
      <c r="A786" s="291"/>
      <c r="B786" s="292"/>
      <c r="C786" s="105" t="s">
        <v>561</v>
      </c>
      <c r="D786" s="271" t="s">
        <v>184</v>
      </c>
      <c r="E786" s="250">
        <v>3.851</v>
      </c>
      <c r="F786" s="176" t="s">
        <v>579</v>
      </c>
      <c r="G786" s="258">
        <v>3.1349999999999998</v>
      </c>
      <c r="H786" s="176" t="s">
        <v>562</v>
      </c>
      <c r="I786" s="258">
        <f>IF(ISNUMBER(G786),E786*G786,"")</f>
        <v>12.072884999999999</v>
      </c>
      <c r="J786" s="282"/>
      <c r="K786" s="35"/>
      <c r="L786" s="174">
        <v>63.63</v>
      </c>
    </row>
    <row r="787" spans="1:12" ht="25.5" x14ac:dyDescent="0.25">
      <c r="A787" s="291"/>
      <c r="B787" s="292"/>
      <c r="C787" s="105" t="s">
        <v>563</v>
      </c>
      <c r="D787" s="271" t="s">
        <v>32</v>
      </c>
      <c r="E787" s="250">
        <v>1.3265</v>
      </c>
      <c r="F787" s="176" t="s">
        <v>579</v>
      </c>
      <c r="G787" s="258">
        <v>1.1779999999999999</v>
      </c>
      <c r="H787" s="176" t="s">
        <v>564</v>
      </c>
      <c r="I787" s="258">
        <f>IF(ISNUMBER(G787),E787*G787,"")</f>
        <v>1.5626169999999999</v>
      </c>
      <c r="J787" s="282"/>
      <c r="K787" s="35"/>
      <c r="L787" s="174">
        <v>63.63</v>
      </c>
    </row>
    <row r="788" spans="1:12" ht="25.5" x14ac:dyDescent="0.25">
      <c r="A788" s="291"/>
      <c r="B788" s="292"/>
      <c r="C788" s="105" t="s">
        <v>340</v>
      </c>
      <c r="D788" s="271" t="s">
        <v>184</v>
      </c>
      <c r="E788" s="250">
        <v>1.4395</v>
      </c>
      <c r="F788" s="176" t="s">
        <v>579</v>
      </c>
      <c r="G788" s="258">
        <v>2.9830000000000001</v>
      </c>
      <c r="H788" s="176" t="s">
        <v>341</v>
      </c>
      <c r="I788" s="258">
        <f>IF(ISNUMBER(G788),E788*G788,"")</f>
        <v>4.2940285000000005</v>
      </c>
      <c r="J788" s="282"/>
      <c r="K788" s="35"/>
      <c r="L788" s="174">
        <v>63.63</v>
      </c>
    </row>
    <row r="789" spans="1:12" ht="25.5" x14ac:dyDescent="0.25">
      <c r="A789" s="291"/>
      <c r="B789" s="292"/>
      <c r="C789" s="105" t="s">
        <v>342</v>
      </c>
      <c r="D789" s="271" t="s">
        <v>75</v>
      </c>
      <c r="E789" s="250">
        <v>0.5202</v>
      </c>
      <c r="F789" s="176" t="s">
        <v>579</v>
      </c>
      <c r="G789" s="258">
        <v>4.0089999999999995</v>
      </c>
      <c r="H789" s="176" t="s">
        <v>343</v>
      </c>
      <c r="I789" s="258">
        <f>IF(ISNUMBER(G789),E789*G789,"")</f>
        <v>2.0854817999999997</v>
      </c>
      <c r="J789" s="282"/>
      <c r="K789" s="35"/>
      <c r="L789" s="174">
        <v>63.63</v>
      </c>
    </row>
    <row r="790" spans="1:12" ht="25.5" x14ac:dyDescent="0.25">
      <c r="A790" s="291"/>
      <c r="B790" s="292"/>
      <c r="C790" s="105" t="s">
        <v>344</v>
      </c>
      <c r="D790" s="271" t="s">
        <v>32</v>
      </c>
      <c r="E790" s="250">
        <v>7.9740000000000002</v>
      </c>
      <c r="F790" s="176" t="s">
        <v>579</v>
      </c>
      <c r="G790" s="258">
        <v>7.5999999999999998E-2</v>
      </c>
      <c r="H790" s="176" t="s">
        <v>345</v>
      </c>
      <c r="I790" s="258">
        <f>IF(ISNUMBER(G790),E790*G790,"")</f>
        <v>0.60602400000000001</v>
      </c>
      <c r="J790" s="282"/>
      <c r="K790" s="35"/>
      <c r="L790" s="174">
        <v>63.63</v>
      </c>
    </row>
    <row r="791" spans="1:12" ht="25.5" x14ac:dyDescent="0.25">
      <c r="A791" s="291"/>
      <c r="B791" s="292"/>
      <c r="C791" s="105" t="s">
        <v>346</v>
      </c>
      <c r="D791" s="271" t="s">
        <v>32</v>
      </c>
      <c r="E791" s="250">
        <v>2.1911999999999998</v>
      </c>
      <c r="F791" s="176" t="s">
        <v>579</v>
      </c>
      <c r="G791" s="258">
        <v>0.18049999999999999</v>
      </c>
      <c r="H791" s="176" t="s">
        <v>347</v>
      </c>
      <c r="I791" s="258">
        <f>IF(ISNUMBER(G791),E791*G791,"")</f>
        <v>0.39551159999999996</v>
      </c>
      <c r="J791" s="282"/>
      <c r="K791" s="35"/>
      <c r="L791" s="174">
        <v>63.63</v>
      </c>
    </row>
    <row r="792" spans="1:12" ht="25.5" x14ac:dyDescent="0.25">
      <c r="A792" s="291"/>
      <c r="B792" s="292"/>
      <c r="C792" s="105" t="s">
        <v>565</v>
      </c>
      <c r="D792" s="271" t="s">
        <v>324</v>
      </c>
      <c r="E792" s="250">
        <v>1.32E-2</v>
      </c>
      <c r="F792" s="176" t="s">
        <v>579</v>
      </c>
      <c r="G792" s="258">
        <v>20.387</v>
      </c>
      <c r="H792" s="176" t="s">
        <v>566</v>
      </c>
      <c r="I792" s="258">
        <f>IF(ISNUMBER(G792),E792*G792,"")</f>
        <v>0.26910840000000003</v>
      </c>
      <c r="J792" s="282"/>
      <c r="K792" s="35"/>
      <c r="L792" s="174">
        <v>63.63</v>
      </c>
    </row>
    <row r="793" spans="1:12" x14ac:dyDescent="0.25">
      <c r="A793" s="291"/>
      <c r="B793" s="292"/>
      <c r="C793" s="105" t="s">
        <v>48</v>
      </c>
      <c r="D793" s="271" t="s">
        <v>21</v>
      </c>
      <c r="E793" s="250">
        <v>0.36280000000000001</v>
      </c>
      <c r="F793" s="176" t="s">
        <v>579</v>
      </c>
      <c r="G793" s="257">
        <v>14.715499999999999</v>
      </c>
      <c r="H793" s="176" t="s">
        <v>49</v>
      </c>
      <c r="I793" s="258">
        <f>IF(ISNUMBER(G793),E793*G793,"")</f>
        <v>5.3387833999999996</v>
      </c>
      <c r="J793" s="282"/>
      <c r="K793" s="35"/>
      <c r="L793" s="174">
        <v>63.63</v>
      </c>
    </row>
    <row r="794" spans="1:12" x14ac:dyDescent="0.25">
      <c r="A794" s="291"/>
      <c r="B794" s="292"/>
      <c r="C794" s="105" t="s">
        <v>38</v>
      </c>
      <c r="D794" s="105" t="s">
        <v>21</v>
      </c>
      <c r="E794" s="250">
        <v>0.36280000000000001</v>
      </c>
      <c r="F794" s="176" t="s">
        <v>579</v>
      </c>
      <c r="G794" s="257">
        <v>14.325999999999999</v>
      </c>
      <c r="H794" s="176" t="s">
        <v>39</v>
      </c>
      <c r="I794" s="258">
        <f>IF(ISNUMBER(G794),E794*G794,"")</f>
        <v>5.1974727999999999</v>
      </c>
      <c r="J794" s="282"/>
      <c r="K794" s="35"/>
      <c r="L794" s="174">
        <v>63.63</v>
      </c>
    </row>
    <row r="795" spans="1:12" ht="15.75" thickBot="1" x14ac:dyDescent="0.3">
      <c r="A795" s="296"/>
      <c r="B795" s="297"/>
      <c r="C795" s="105"/>
      <c r="D795" s="105"/>
      <c r="E795" s="250"/>
      <c r="F795" s="176"/>
      <c r="G795" s="257" t="s">
        <v>1079</v>
      </c>
      <c r="H795" s="176"/>
      <c r="I795" s="257" t="str">
        <f>IF(ISNUMBER(G795),E795*G795,"")</f>
        <v/>
      </c>
      <c r="J795" s="281"/>
      <c r="K795" s="19"/>
      <c r="L795" s="174">
        <v>63.63</v>
      </c>
    </row>
    <row r="796" spans="1:12" ht="15.75" hidden="1" thickBot="1" x14ac:dyDescent="0.3">
      <c r="A796" s="180" t="s">
        <v>580</v>
      </c>
      <c r="B796" s="178" t="str">
        <f>INDEX(Orçamentária!A:B,MATCH(Composições!A796,Orçamentária!A:A,0),2)</f>
        <v>Forro em gesso acartonado monolítico, sem estrutura</v>
      </c>
      <c r="C796" s="30"/>
      <c r="D796" s="13" t="str">
        <f>TRIM(INDEX(Orçamentária!C:C,MATCH(Composições!A796,Orçamentária!A:A,0),1))</f>
        <v>m2</v>
      </c>
      <c r="E796" s="14"/>
      <c r="F796" s="15" t="s">
        <v>581</v>
      </c>
      <c r="G796" s="31" t="s">
        <v>1079</v>
      </c>
      <c r="H796" s="16"/>
      <c r="I796" s="16" t="str">
        <f>IF(ISNUMBER(G796),E796*G796,"")</f>
        <v/>
      </c>
      <c r="J796" s="17"/>
      <c r="K796" s="18"/>
      <c r="L796" s="174">
        <v>0</v>
      </c>
    </row>
    <row r="797" spans="1:12" ht="15.75" hidden="1" thickBot="1" x14ac:dyDescent="0.3">
      <c r="A797" s="181"/>
      <c r="B797" s="179"/>
      <c r="C797" s="20"/>
      <c r="D797" s="20"/>
      <c r="E797" s="21"/>
      <c r="F797" s="22"/>
      <c r="G797" s="32" t="s">
        <v>1079</v>
      </c>
      <c r="H797" s="20"/>
      <c r="I797" s="19" t="str">
        <f>IF(ISNUMBER(G797),E797*G797,"")</f>
        <v/>
      </c>
      <c r="J797" s="24"/>
      <c r="K797" s="19"/>
      <c r="L797" s="174">
        <v>0</v>
      </c>
    </row>
    <row r="798" spans="1:12" ht="26.25" hidden="1" thickBot="1" x14ac:dyDescent="0.3">
      <c r="A798" s="181"/>
      <c r="B798" s="179"/>
      <c r="C798" s="25" t="s">
        <v>332</v>
      </c>
      <c r="D798" s="36" t="s">
        <v>189</v>
      </c>
      <c r="E798" s="26">
        <v>1.0966</v>
      </c>
      <c r="F798" s="27" t="s">
        <v>579</v>
      </c>
      <c r="G798" s="23">
        <v>20.177999999999997</v>
      </c>
      <c r="H798" s="27" t="s">
        <v>333</v>
      </c>
      <c r="I798" s="23">
        <f>IF(ISNUMBER(G798),E798*G798,"")</f>
        <v>22.127194799999998</v>
      </c>
      <c r="J798" s="28">
        <f>SUM(I798:I804)</f>
        <v>40.044496899999999</v>
      </c>
      <c r="K798" s="29"/>
      <c r="L798" s="174">
        <v>0</v>
      </c>
    </row>
    <row r="799" spans="1:12" ht="26.25" hidden="1" thickBot="1" x14ac:dyDescent="0.3">
      <c r="A799" s="181"/>
      <c r="B799" s="179"/>
      <c r="C799" s="25" t="s">
        <v>340</v>
      </c>
      <c r="D799" s="36" t="s">
        <v>184</v>
      </c>
      <c r="E799" s="26">
        <v>1.4395</v>
      </c>
      <c r="F799" s="27" t="s">
        <v>579</v>
      </c>
      <c r="G799" s="23">
        <v>2.9830000000000001</v>
      </c>
      <c r="H799" s="27" t="s">
        <v>341</v>
      </c>
      <c r="I799" s="23">
        <f>IF(ISNUMBER(G799),E799*G799,"")</f>
        <v>4.2940285000000005</v>
      </c>
      <c r="J799" s="34"/>
      <c r="K799" s="35"/>
      <c r="L799" s="174">
        <v>0</v>
      </c>
    </row>
    <row r="800" spans="1:12" ht="26.25" hidden="1" thickBot="1" x14ac:dyDescent="0.3">
      <c r="A800" s="181"/>
      <c r="B800" s="179"/>
      <c r="C800" s="25" t="s">
        <v>342</v>
      </c>
      <c r="D800" s="36" t="s">
        <v>75</v>
      </c>
      <c r="E800" s="26">
        <v>0.5202</v>
      </c>
      <c r="F800" s="27" t="s">
        <v>579</v>
      </c>
      <c r="G800" s="23">
        <v>4.0089999999999995</v>
      </c>
      <c r="H800" s="27" t="s">
        <v>343</v>
      </c>
      <c r="I800" s="23">
        <f>IF(ISNUMBER(G800),E800*G800,"")</f>
        <v>2.0854817999999997</v>
      </c>
      <c r="J800" s="34"/>
      <c r="K800" s="35"/>
      <c r="L800" s="174">
        <v>0</v>
      </c>
    </row>
    <row r="801" spans="1:12" ht="26.25" hidden="1" thickBot="1" x14ac:dyDescent="0.3">
      <c r="A801" s="181"/>
      <c r="B801" s="179"/>
      <c r="C801" s="25" t="s">
        <v>344</v>
      </c>
      <c r="D801" s="36" t="s">
        <v>32</v>
      </c>
      <c r="E801" s="26">
        <v>7.9740000000000002</v>
      </c>
      <c r="F801" s="27" t="s">
        <v>579</v>
      </c>
      <c r="G801" s="23">
        <v>7.5999999999999998E-2</v>
      </c>
      <c r="H801" s="27" t="s">
        <v>345</v>
      </c>
      <c r="I801" s="23">
        <f>IF(ISNUMBER(G801),E801*G801,"")</f>
        <v>0.60602400000000001</v>
      </c>
      <c r="J801" s="34"/>
      <c r="K801" s="35"/>
      <c r="L801" s="174">
        <v>0</v>
      </c>
    </row>
    <row r="802" spans="1:12" ht="26.25" hidden="1" thickBot="1" x14ac:dyDescent="0.3">
      <c r="A802" s="181"/>
      <c r="B802" s="179"/>
      <c r="C802" s="25" t="s">
        <v>346</v>
      </c>
      <c r="D802" s="36" t="s">
        <v>32</v>
      </c>
      <c r="E802" s="26">
        <v>2.1911999999999998</v>
      </c>
      <c r="F802" s="27" t="s">
        <v>579</v>
      </c>
      <c r="G802" s="23">
        <v>0.18049999999999999</v>
      </c>
      <c r="H802" s="27" t="s">
        <v>347</v>
      </c>
      <c r="I802" s="23">
        <f>IF(ISNUMBER(G802),E802*G802,"")</f>
        <v>0.39551159999999996</v>
      </c>
      <c r="J802" s="34"/>
      <c r="K802" s="35"/>
      <c r="L802" s="174">
        <v>0</v>
      </c>
    </row>
    <row r="803" spans="1:12" ht="15.75" hidden="1" thickBot="1" x14ac:dyDescent="0.3">
      <c r="A803" s="181"/>
      <c r="B803" s="179"/>
      <c r="C803" s="25" t="s">
        <v>48</v>
      </c>
      <c r="D803" s="36" t="s">
        <v>21</v>
      </c>
      <c r="E803" s="26">
        <v>0.36280000000000001</v>
      </c>
      <c r="F803" s="27" t="s">
        <v>579</v>
      </c>
      <c r="G803" s="19">
        <v>14.715499999999999</v>
      </c>
      <c r="H803" s="27" t="s">
        <v>49</v>
      </c>
      <c r="I803" s="23">
        <f>IF(ISNUMBER(G803),E803*G803,"")</f>
        <v>5.3387833999999996</v>
      </c>
      <c r="J803" s="34"/>
      <c r="K803" s="35"/>
      <c r="L803" s="174">
        <v>0</v>
      </c>
    </row>
    <row r="804" spans="1:12" ht="15.75" hidden="1" thickBot="1" x14ac:dyDescent="0.3">
      <c r="A804" s="181"/>
      <c r="B804" s="179"/>
      <c r="C804" s="25" t="s">
        <v>38</v>
      </c>
      <c r="D804" s="25" t="s">
        <v>21</v>
      </c>
      <c r="E804" s="26">
        <v>0.36280000000000001</v>
      </c>
      <c r="F804" s="27" t="s">
        <v>579</v>
      </c>
      <c r="G804" s="19">
        <v>14.325999999999999</v>
      </c>
      <c r="H804" s="27" t="s">
        <v>39</v>
      </c>
      <c r="I804" s="23">
        <f>IF(ISNUMBER(G804),E804*G804,"")</f>
        <v>5.1974727999999999</v>
      </c>
      <c r="J804" s="34"/>
      <c r="K804" s="35"/>
      <c r="L804" s="174">
        <v>0</v>
      </c>
    </row>
    <row r="805" spans="1:12" ht="15.75" hidden="1" thickBot="1" x14ac:dyDescent="0.3">
      <c r="A805" s="182"/>
      <c r="B805" s="183"/>
      <c r="C805" s="25"/>
      <c r="D805" s="25"/>
      <c r="E805" s="26"/>
      <c r="F805" s="27"/>
      <c r="G805" s="19" t="s">
        <v>1079</v>
      </c>
      <c r="H805" s="27"/>
      <c r="I805" s="19" t="str">
        <f>IF(ISNUMBER(G805),E805*G805,"")</f>
        <v/>
      </c>
      <c r="J805" s="24"/>
      <c r="K805" s="19"/>
      <c r="L805" s="174">
        <v>0</v>
      </c>
    </row>
    <row r="806" spans="1:12" ht="15.75" hidden="1" thickBot="1" x14ac:dyDescent="0.3">
      <c r="A806" s="180" t="s">
        <v>582</v>
      </c>
      <c r="B806" s="178" t="str">
        <f>INDEX(Orçamentária!A:B,MATCH(Composições!A806,Orçamentária!A:A,0),2)</f>
        <v>Forro mineral modulado</v>
      </c>
      <c r="C806" s="30"/>
      <c r="D806" s="13" t="str">
        <f>TRIM(INDEX(Orçamentária!C:C,MATCH(Composições!A806,Orçamentária!A:A,0),1))</f>
        <v>m2</v>
      </c>
      <c r="E806" s="14"/>
      <c r="F806" s="15" t="s">
        <v>583</v>
      </c>
      <c r="G806" s="31" t="s">
        <v>1079</v>
      </c>
      <c r="H806" s="16"/>
      <c r="I806" s="16" t="str">
        <f>IF(ISNUMBER(G806),E806*G806,"")</f>
        <v/>
      </c>
      <c r="J806" s="17"/>
      <c r="K806" s="18"/>
      <c r="L806" s="174">
        <v>0</v>
      </c>
    </row>
    <row r="807" spans="1:12" ht="15.75" hidden="1" thickBot="1" x14ac:dyDescent="0.3">
      <c r="A807" s="181"/>
      <c r="B807" s="179"/>
      <c r="C807" s="20"/>
      <c r="D807" s="20"/>
      <c r="E807" s="21"/>
      <c r="F807" s="22"/>
      <c r="G807" s="32" t="s">
        <v>1079</v>
      </c>
      <c r="H807" s="20"/>
      <c r="I807" s="19" t="str">
        <f>IF(ISNUMBER(G807),E807*G807,"")</f>
        <v/>
      </c>
      <c r="J807" s="24"/>
      <c r="K807" s="19"/>
      <c r="L807" s="174">
        <v>0</v>
      </c>
    </row>
    <row r="808" spans="1:12" ht="39" hidden="1" thickBot="1" x14ac:dyDescent="0.3">
      <c r="A808" s="181"/>
      <c r="B808" s="179"/>
      <c r="C808" s="25" t="s">
        <v>584</v>
      </c>
      <c r="D808" s="36" t="s">
        <v>189</v>
      </c>
      <c r="E808" s="26">
        <v>1</v>
      </c>
      <c r="F808" s="27" t="s">
        <v>583</v>
      </c>
      <c r="G808" s="23">
        <v>79.752499999999998</v>
      </c>
      <c r="H808" s="27" t="s">
        <v>583</v>
      </c>
      <c r="I808" s="23">
        <f>IF(ISNUMBER(G808),E808*G808,"")</f>
        <v>79.752499999999998</v>
      </c>
      <c r="J808" s="28">
        <f>SUM(I808:I808)</f>
        <v>79.752499999999998</v>
      </c>
      <c r="K808" s="29"/>
      <c r="L808" s="174">
        <v>0</v>
      </c>
    </row>
    <row r="809" spans="1:12" ht="15.75" hidden="1" thickBot="1" x14ac:dyDescent="0.3">
      <c r="A809" s="182"/>
      <c r="B809" s="183"/>
      <c r="C809" s="25"/>
      <c r="D809" s="25"/>
      <c r="E809" s="26"/>
      <c r="F809" s="27"/>
      <c r="G809" s="19" t="s">
        <v>1079</v>
      </c>
      <c r="H809" s="27"/>
      <c r="I809" s="19" t="str">
        <f>IF(ISNUMBER(G809),E809*G809,"")</f>
        <v/>
      </c>
      <c r="J809" s="24"/>
      <c r="K809" s="19"/>
      <c r="L809" s="174">
        <v>0</v>
      </c>
    </row>
    <row r="810" spans="1:12" ht="15.75" hidden="1" thickBot="1" x14ac:dyDescent="0.3">
      <c r="A810" s="180" t="s">
        <v>585</v>
      </c>
      <c r="B810" s="178" t="str">
        <f>INDEX(Orçamentária!A:B,MATCH(Composições!A810,Orçamentária!A:A,0),2)</f>
        <v>Forro mineral modulado, sem estrutura</v>
      </c>
      <c r="C810" s="30"/>
      <c r="D810" s="13" t="str">
        <f>TRIM(INDEX(Orçamentária!C:C,MATCH(Composições!A810,Orçamentária!A:A,0),1))</f>
        <v>m2</v>
      </c>
      <c r="E810" s="14"/>
      <c r="F810" s="15" t="s">
        <v>586</v>
      </c>
      <c r="G810" s="31" t="s">
        <v>1079</v>
      </c>
      <c r="H810" s="16"/>
      <c r="I810" s="16" t="str">
        <f>IF(ISNUMBER(G810),E810*G810,"")</f>
        <v/>
      </c>
      <c r="J810" s="17"/>
      <c r="K810" s="18"/>
      <c r="L810" s="174">
        <v>0</v>
      </c>
    </row>
    <row r="811" spans="1:12" ht="15.75" hidden="1" thickBot="1" x14ac:dyDescent="0.3">
      <c r="A811" s="181"/>
      <c r="B811" s="179"/>
      <c r="C811" s="20"/>
      <c r="D811" s="20"/>
      <c r="E811" s="21"/>
      <c r="F811" s="22"/>
      <c r="G811" s="32" t="s">
        <v>1079</v>
      </c>
      <c r="H811" s="20"/>
      <c r="I811" s="19" t="str">
        <f>IF(ISNUMBER(G811),E811*G811,"")</f>
        <v/>
      </c>
      <c r="J811" s="24"/>
      <c r="K811" s="19"/>
      <c r="L811" s="174">
        <v>0</v>
      </c>
    </row>
    <row r="812" spans="1:12" ht="15.75" hidden="1" thickBot="1" x14ac:dyDescent="0.3">
      <c r="A812" s="181"/>
      <c r="B812" s="179"/>
      <c r="C812" s="25" t="s">
        <v>92</v>
      </c>
      <c r="D812" s="25" t="s">
        <v>21</v>
      </c>
      <c r="E812" s="26">
        <f>1.2/4</f>
        <v>0.3</v>
      </c>
      <c r="F812" s="27" t="s">
        <v>586</v>
      </c>
      <c r="G812" s="19">
        <v>16.881499999999999</v>
      </c>
      <c r="H812" s="19" t="s">
        <v>93</v>
      </c>
      <c r="I812" s="19">
        <f>IF(ISNUMBER(G812),E812*G812,"")</f>
        <v>5.0644499999999999</v>
      </c>
      <c r="J812" s="28">
        <f>SUM(I812:I813)</f>
        <v>22.829449999999998</v>
      </c>
      <c r="K812" s="29"/>
      <c r="L812" s="174">
        <v>0</v>
      </c>
    </row>
    <row r="813" spans="1:12" ht="26.25" hidden="1" thickBot="1" x14ac:dyDescent="0.3">
      <c r="A813" s="181"/>
      <c r="B813" s="179"/>
      <c r="C813" s="25" t="s">
        <v>587</v>
      </c>
      <c r="D813" s="25" t="s">
        <v>588</v>
      </c>
      <c r="E813" s="26">
        <v>1</v>
      </c>
      <c r="F813" s="27" t="s">
        <v>589</v>
      </c>
      <c r="G813" s="23">
        <v>17.764999999999997</v>
      </c>
      <c r="H813" s="27" t="s">
        <v>590</v>
      </c>
      <c r="I813" s="19">
        <f>IF(ISNUMBER(G813),E813*G813,"")</f>
        <v>17.764999999999997</v>
      </c>
      <c r="J813" s="24"/>
      <c r="K813" s="19"/>
      <c r="L813" s="174">
        <v>0</v>
      </c>
    </row>
    <row r="814" spans="1:12" ht="15.75" hidden="1" thickBot="1" x14ac:dyDescent="0.3">
      <c r="A814" s="182"/>
      <c r="B814" s="183"/>
      <c r="C814" s="25"/>
      <c r="D814" s="25"/>
      <c r="E814" s="26"/>
      <c r="F814" s="27"/>
      <c r="G814" s="19" t="s">
        <v>1079</v>
      </c>
      <c r="H814" s="27"/>
      <c r="I814" s="19" t="str">
        <f>IF(ISNUMBER(G814),E814*G814,"")</f>
        <v/>
      </c>
      <c r="J814" s="24"/>
      <c r="K814" s="19"/>
      <c r="L814" s="174">
        <v>0</v>
      </c>
    </row>
    <row r="815" spans="1:12" ht="15.75" hidden="1" thickBot="1" x14ac:dyDescent="0.3">
      <c r="A815" s="180" t="s">
        <v>591</v>
      </c>
      <c r="B815" s="178" t="str">
        <f>INDEX(Orçamentária!A:B,MATCH(Composições!A815,Orçamentária!A:A,0),2)</f>
        <v>Instalação de forro de PVC reaproveitado</v>
      </c>
      <c r="C815" s="30"/>
      <c r="D815" s="13" t="str">
        <f>TRIM(INDEX(Orçamentária!C:C,MATCH(Composições!A815,Orçamentária!A:A,0),1))</f>
        <v>m2</v>
      </c>
      <c r="E815" s="14"/>
      <c r="F815" s="15" t="s">
        <v>555</v>
      </c>
      <c r="G815" s="31" t="s">
        <v>1079</v>
      </c>
      <c r="H815" s="16"/>
      <c r="I815" s="16" t="str">
        <f>IF(ISNUMBER(G815),E815*G815,"")</f>
        <v/>
      </c>
      <c r="J815" s="17"/>
      <c r="K815" s="18"/>
      <c r="L815" s="174">
        <v>0</v>
      </c>
    </row>
    <row r="816" spans="1:12" ht="15.75" hidden="1" thickBot="1" x14ac:dyDescent="0.3">
      <c r="A816" s="181"/>
      <c r="B816" s="179"/>
      <c r="C816" s="20"/>
      <c r="D816" s="20"/>
      <c r="E816" s="21"/>
      <c r="F816" s="22"/>
      <c r="G816" s="32" t="s">
        <v>1079</v>
      </c>
      <c r="H816" s="20"/>
      <c r="I816" s="19" t="str">
        <f>IF(ISNUMBER(G816),E816*G816,"")</f>
        <v/>
      </c>
      <c r="J816" s="24"/>
      <c r="K816" s="19"/>
      <c r="L816" s="174">
        <v>0</v>
      </c>
    </row>
    <row r="817" spans="1:12" ht="15.75" hidden="1" thickBot="1" x14ac:dyDescent="0.3">
      <c r="A817" s="181"/>
      <c r="B817" s="179"/>
      <c r="C817" s="25" t="s">
        <v>48</v>
      </c>
      <c r="D817" s="36" t="s">
        <v>21</v>
      </c>
      <c r="E817" s="26">
        <f>ROUND(0.4994*0.3,4)</f>
        <v>0.14979999999999999</v>
      </c>
      <c r="F817" s="27" t="s">
        <v>557</v>
      </c>
      <c r="G817" s="19">
        <v>14.715499999999999</v>
      </c>
      <c r="H817" s="27" t="s">
        <v>49</v>
      </c>
      <c r="I817" s="19">
        <f>IF(ISNUMBER(G817),E817*G817,"")</f>
        <v>2.2043818999999996</v>
      </c>
      <c r="J817" s="28">
        <f>SUM(I817:I817)</f>
        <v>2.2043818999999996</v>
      </c>
      <c r="K817" s="29"/>
      <c r="L817" s="174">
        <v>0</v>
      </c>
    </row>
    <row r="818" spans="1:12" ht="15.75" hidden="1" thickBot="1" x14ac:dyDescent="0.3">
      <c r="A818" s="182"/>
      <c r="B818" s="183"/>
      <c r="C818" s="25"/>
      <c r="D818" s="25"/>
      <c r="E818" s="26"/>
      <c r="F818" s="27"/>
      <c r="G818" s="19" t="s">
        <v>1079</v>
      </c>
      <c r="H818" s="27"/>
      <c r="I818" s="19" t="str">
        <f>IF(ISNUMBER(G818),E818*G818,"")</f>
        <v/>
      </c>
      <c r="J818" s="24"/>
      <c r="K818" s="19"/>
      <c r="L818" s="174">
        <v>0</v>
      </c>
    </row>
    <row r="819" spans="1:12" ht="15.75" hidden="1" thickBot="1" x14ac:dyDescent="0.3">
      <c r="A819" s="180" t="s">
        <v>592</v>
      </c>
      <c r="B819" s="178" t="str">
        <f>INDEX(Orçamentária!A:B,MATCH(Composições!A819,Orçamentária!A:A,0),2)</f>
        <v>Instalação de forro mineral reaproveitado</v>
      </c>
      <c r="C819" s="30"/>
      <c r="D819" s="13" t="str">
        <f>TRIM(INDEX(Orçamentária!C:C,MATCH(Composições!A819,Orçamentária!A:A,0),1))</f>
        <v>m2</v>
      </c>
      <c r="E819" s="14"/>
      <c r="F819" s="15" t="s">
        <v>586</v>
      </c>
      <c r="G819" s="31" t="s">
        <v>1079</v>
      </c>
      <c r="H819" s="16"/>
      <c r="I819" s="16" t="str">
        <f>IF(ISNUMBER(G819),E819*G819,"")</f>
        <v/>
      </c>
      <c r="J819" s="17"/>
      <c r="K819" s="18"/>
      <c r="L819" s="174">
        <v>0</v>
      </c>
    </row>
    <row r="820" spans="1:12" ht="15.75" hidden="1" thickBot="1" x14ac:dyDescent="0.3">
      <c r="A820" s="181"/>
      <c r="B820" s="179"/>
      <c r="C820" s="20"/>
      <c r="D820" s="20"/>
      <c r="E820" s="21"/>
      <c r="F820" s="22"/>
      <c r="G820" s="32" t="s">
        <v>1079</v>
      </c>
      <c r="H820" s="20"/>
      <c r="I820" s="19" t="str">
        <f>IF(ISNUMBER(G820),E820*G820,"")</f>
        <v/>
      </c>
      <c r="J820" s="24"/>
      <c r="K820" s="19"/>
      <c r="L820" s="174">
        <v>0</v>
      </c>
    </row>
    <row r="821" spans="1:12" ht="15.75" hidden="1" thickBot="1" x14ac:dyDescent="0.3">
      <c r="A821" s="181"/>
      <c r="B821" s="179"/>
      <c r="C821" s="25" t="s">
        <v>92</v>
      </c>
      <c r="D821" s="36" t="s">
        <v>21</v>
      </c>
      <c r="E821" s="26">
        <v>1.2</v>
      </c>
      <c r="F821" s="27" t="s">
        <v>589</v>
      </c>
      <c r="G821" s="19">
        <v>16.881499999999999</v>
      </c>
      <c r="H821" s="27" t="s">
        <v>93</v>
      </c>
      <c r="I821" s="19">
        <f>IF(ISNUMBER(G821),E821*G821,"")</f>
        <v>20.2578</v>
      </c>
      <c r="J821" s="28">
        <f>SUM(I821:I822)</f>
        <v>37.916399999999996</v>
      </c>
      <c r="K821" s="29"/>
      <c r="L821" s="174">
        <v>0</v>
      </c>
    </row>
    <row r="822" spans="1:12" ht="15.75" hidden="1" thickBot="1" x14ac:dyDescent="0.3">
      <c r="A822" s="181"/>
      <c r="B822" s="179"/>
      <c r="C822" s="25" t="s">
        <v>48</v>
      </c>
      <c r="D822" s="36" t="s">
        <v>21</v>
      </c>
      <c r="E822" s="26">
        <v>1.2</v>
      </c>
      <c r="F822" s="27" t="s">
        <v>589</v>
      </c>
      <c r="G822" s="19">
        <v>14.715499999999999</v>
      </c>
      <c r="H822" s="27" t="s">
        <v>49</v>
      </c>
      <c r="I822" s="19">
        <f>IF(ISNUMBER(G822),E822*G822,"")</f>
        <v>17.658599999999996</v>
      </c>
      <c r="J822" s="24"/>
      <c r="K822" s="19"/>
      <c r="L822" s="174">
        <v>0</v>
      </c>
    </row>
    <row r="823" spans="1:12" ht="15.75" hidden="1" thickBot="1" x14ac:dyDescent="0.3">
      <c r="A823" s="182"/>
      <c r="B823" s="183"/>
      <c r="C823" s="25"/>
      <c r="D823" s="25"/>
      <c r="E823" s="26"/>
      <c r="F823" s="27"/>
      <c r="G823" s="19" t="s">
        <v>1079</v>
      </c>
      <c r="H823" s="27"/>
      <c r="I823" s="19" t="str">
        <f>IF(ISNUMBER(G823),E823*G823,"")</f>
        <v/>
      </c>
      <c r="J823" s="24"/>
      <c r="K823" s="19"/>
      <c r="L823" s="174">
        <v>0</v>
      </c>
    </row>
    <row r="824" spans="1:12" ht="15.75" thickBot="1" x14ac:dyDescent="0.3">
      <c r="A824" s="288" t="s">
        <v>593</v>
      </c>
      <c r="B824" s="289" t="str">
        <f>INDEX(Orçamentária!A:B,MATCH(Composições!A824,Orçamentária!A:A,0),2)</f>
        <v>Tabica metálica em forro de gesso acartonado</v>
      </c>
      <c r="C824" s="274"/>
      <c r="D824" s="265" t="str">
        <f>TRIM(INDEX(Orçamentária!C:C,MATCH(Composições!A824,Orçamentária!A:A,0),1))</f>
        <v>m</v>
      </c>
      <c r="E824" s="290"/>
      <c r="F824" s="259" t="s">
        <v>594</v>
      </c>
      <c r="G824" s="260" t="s">
        <v>1079</v>
      </c>
      <c r="H824" s="261"/>
      <c r="I824" s="261" t="str">
        <f>IF(ISNUMBER(G824),E824*G824,"")</f>
        <v/>
      </c>
      <c r="J824" s="280"/>
      <c r="K824" s="18"/>
      <c r="L824" s="174">
        <v>53.55</v>
      </c>
    </row>
    <row r="825" spans="1:12" x14ac:dyDescent="0.25">
      <c r="A825" s="291"/>
      <c r="B825" s="292"/>
      <c r="C825" s="155"/>
      <c r="D825" s="155"/>
      <c r="E825" s="293"/>
      <c r="F825" s="294"/>
      <c r="G825" s="262" t="s">
        <v>1079</v>
      </c>
      <c r="H825" s="155"/>
      <c r="I825" s="257" t="str">
        <f>IF(ISNUMBER(G825),E825*G825,"")</f>
        <v/>
      </c>
      <c r="J825" s="281"/>
      <c r="K825" s="19"/>
      <c r="L825" s="174">
        <v>53.55</v>
      </c>
    </row>
    <row r="826" spans="1:12" ht="25.5" x14ac:dyDescent="0.25">
      <c r="A826" s="291"/>
      <c r="B826" s="292"/>
      <c r="C826" s="105" t="s">
        <v>595</v>
      </c>
      <c r="D826" s="105" t="s">
        <v>184</v>
      </c>
      <c r="E826" s="250">
        <v>1.1512</v>
      </c>
      <c r="F826" s="176" t="s">
        <v>596</v>
      </c>
      <c r="G826" s="258">
        <v>3.04</v>
      </c>
      <c r="H826" s="176" t="s">
        <v>597</v>
      </c>
      <c r="I826" s="258">
        <f>IF(ISNUMBER(G826),E826*G826,"")</f>
        <v>3.4996480000000001</v>
      </c>
      <c r="J826" s="295">
        <f>SUM(I826:I829)</f>
        <v>8.3829614999999986</v>
      </c>
      <c r="K826" s="29"/>
      <c r="L826" s="174">
        <v>53.55</v>
      </c>
    </row>
    <row r="827" spans="1:12" ht="25.5" x14ac:dyDescent="0.25">
      <c r="A827" s="291"/>
      <c r="B827" s="292"/>
      <c r="C827" s="105" t="s">
        <v>346</v>
      </c>
      <c r="D827" s="105" t="s">
        <v>32</v>
      </c>
      <c r="E827" s="250">
        <v>0.58330000000000004</v>
      </c>
      <c r="F827" s="176" t="s">
        <v>596</v>
      </c>
      <c r="G827" s="258">
        <v>0.18049999999999999</v>
      </c>
      <c r="H827" s="176" t="s">
        <v>347</v>
      </c>
      <c r="I827" s="258">
        <f>IF(ISNUMBER(G827),E827*G827,"")</f>
        <v>0.10528565000000001</v>
      </c>
      <c r="J827" s="307"/>
      <c r="K827" s="49"/>
      <c r="L827" s="174">
        <v>53.55</v>
      </c>
    </row>
    <row r="828" spans="1:12" ht="25.5" x14ac:dyDescent="0.25">
      <c r="A828" s="291"/>
      <c r="B828" s="292"/>
      <c r="C828" s="105" t="s">
        <v>567</v>
      </c>
      <c r="D828" s="105" t="s">
        <v>324</v>
      </c>
      <c r="E828" s="250">
        <v>7.4899999999999994E-2</v>
      </c>
      <c r="F828" s="176" t="s">
        <v>596</v>
      </c>
      <c r="G828" s="258">
        <v>34.950499999999998</v>
      </c>
      <c r="H828" s="176" t="s">
        <v>568</v>
      </c>
      <c r="I828" s="258">
        <f>IF(ISNUMBER(G828),E828*G828,"")</f>
        <v>2.6177924499999996</v>
      </c>
      <c r="J828" s="307"/>
      <c r="K828" s="49"/>
      <c r="L828" s="174">
        <v>53.55</v>
      </c>
    </row>
    <row r="829" spans="1:12" x14ac:dyDescent="0.25">
      <c r="A829" s="291"/>
      <c r="B829" s="292"/>
      <c r="C829" s="105" t="s">
        <v>48</v>
      </c>
      <c r="D829" s="105" t="s">
        <v>21</v>
      </c>
      <c r="E829" s="250">
        <v>0.14680000000000001</v>
      </c>
      <c r="F829" s="176" t="s">
        <v>596</v>
      </c>
      <c r="G829" s="257">
        <v>14.715499999999999</v>
      </c>
      <c r="H829" s="176" t="s">
        <v>49</v>
      </c>
      <c r="I829" s="258">
        <f>IF(ISNUMBER(G829),E829*G829,"")</f>
        <v>2.1602353999999999</v>
      </c>
      <c r="J829" s="307"/>
      <c r="K829" s="49"/>
      <c r="L829" s="174">
        <v>53.55</v>
      </c>
    </row>
    <row r="830" spans="1:12" ht="15.75" thickBot="1" x14ac:dyDescent="0.3">
      <c r="A830" s="296"/>
      <c r="B830" s="297"/>
      <c r="C830" s="105"/>
      <c r="D830" s="105"/>
      <c r="E830" s="250"/>
      <c r="F830" s="176"/>
      <c r="G830" s="257" t="s">
        <v>1079</v>
      </c>
      <c r="H830" s="176"/>
      <c r="I830" s="258" t="str">
        <f>IF(ISNUMBER(G830),E830*G830,"")</f>
        <v/>
      </c>
      <c r="J830" s="281"/>
      <c r="K830" s="19"/>
      <c r="L830" s="174">
        <v>53.55</v>
      </c>
    </row>
    <row r="831" spans="1:12" ht="15.75" hidden="1" thickBot="1" x14ac:dyDescent="0.3">
      <c r="A831" s="180" t="s">
        <v>598</v>
      </c>
      <c r="B831" s="178" t="str">
        <f>INDEX(Orçamentária!A:B,MATCH(Composições!A831,Orçamentária!A:A,0),2)</f>
        <v>Instalação de revestimento de piso têxtil (carpete) reaproveitado</v>
      </c>
      <c r="C831" s="30"/>
      <c r="D831" s="13" t="str">
        <f>TRIM(INDEX(Orçamentária!C:C,MATCH(Composições!A831,Orçamentária!A:A,0),1))</f>
        <v>m2</v>
      </c>
      <c r="E831" s="14"/>
      <c r="F831" s="15" t="s">
        <v>599</v>
      </c>
      <c r="G831" s="31" t="s">
        <v>1079</v>
      </c>
      <c r="H831" s="16"/>
      <c r="I831" s="16" t="str">
        <f>IF(ISNUMBER(G831),E831*G831,"")</f>
        <v/>
      </c>
      <c r="J831" s="17"/>
      <c r="K831" s="18"/>
      <c r="L831" s="174">
        <v>0</v>
      </c>
    </row>
    <row r="832" spans="1:12" ht="15.75" hidden="1" thickBot="1" x14ac:dyDescent="0.3">
      <c r="A832" s="181"/>
      <c r="B832" s="179"/>
      <c r="C832" s="20"/>
      <c r="D832" s="20"/>
      <c r="E832" s="21"/>
      <c r="F832" s="22"/>
      <c r="G832" s="32" t="s">
        <v>1079</v>
      </c>
      <c r="H832" s="20"/>
      <c r="I832" s="19" t="str">
        <f>IF(ISNUMBER(G832),E832*G832,"")</f>
        <v/>
      </c>
      <c r="J832" s="24"/>
      <c r="K832" s="19"/>
      <c r="L832" s="174">
        <v>0</v>
      </c>
    </row>
    <row r="833" spans="1:12" ht="15.75" hidden="1" thickBot="1" x14ac:dyDescent="0.3">
      <c r="A833" s="181"/>
      <c r="B833" s="179"/>
      <c r="C833" s="25" t="s">
        <v>38</v>
      </c>
      <c r="D833" s="25" t="s">
        <v>21</v>
      </c>
      <c r="E833" s="26">
        <v>0.1</v>
      </c>
      <c r="F833" s="27" t="s">
        <v>600</v>
      </c>
      <c r="G833" s="19">
        <v>14.325999999999999</v>
      </c>
      <c r="H833" s="27" t="s">
        <v>39</v>
      </c>
      <c r="I833" s="23">
        <f>IF(ISNUMBER(G833),E833*G833,"")</f>
        <v>1.4325999999999999</v>
      </c>
      <c r="J833" s="28">
        <f>SUM(I833:I835)</f>
        <v>5.7569999999999997</v>
      </c>
      <c r="K833" s="29"/>
      <c r="L833" s="174">
        <v>0</v>
      </c>
    </row>
    <row r="834" spans="1:12" ht="15.75" hidden="1" thickBot="1" x14ac:dyDescent="0.3">
      <c r="A834" s="181"/>
      <c r="B834" s="179"/>
      <c r="C834" s="25" t="s">
        <v>36</v>
      </c>
      <c r="D834" s="25" t="s">
        <v>21</v>
      </c>
      <c r="E834" s="26">
        <v>0.1</v>
      </c>
      <c r="F834" s="27" t="s">
        <v>600</v>
      </c>
      <c r="G834" s="19">
        <v>19.142499999999998</v>
      </c>
      <c r="H834" s="27" t="s">
        <v>37</v>
      </c>
      <c r="I834" s="23">
        <f>IF(ISNUMBER(G834),E834*G834,"")</f>
        <v>1.91425</v>
      </c>
      <c r="J834" s="24"/>
      <c r="K834" s="19"/>
      <c r="L834" s="174">
        <v>0</v>
      </c>
    </row>
    <row r="835" spans="1:12" ht="15.75" hidden="1" thickBot="1" x14ac:dyDescent="0.3">
      <c r="A835" s="181"/>
      <c r="B835" s="179"/>
      <c r="C835" s="25" t="s">
        <v>601</v>
      </c>
      <c r="D835" s="25" t="s">
        <v>75</v>
      </c>
      <c r="E835" s="26">
        <v>0.1</v>
      </c>
      <c r="F835" s="27" t="s">
        <v>600</v>
      </c>
      <c r="G835" s="23">
        <v>24.101500000000001</v>
      </c>
      <c r="H835" s="27" t="s">
        <v>602</v>
      </c>
      <c r="I835" s="19">
        <f>IF(ISNUMBER(G835),E835*G835,"")</f>
        <v>2.4101500000000002</v>
      </c>
      <c r="J835" s="24"/>
      <c r="K835" s="19"/>
      <c r="L835" s="174">
        <v>0</v>
      </c>
    </row>
    <row r="836" spans="1:12" ht="15.75" hidden="1" thickBot="1" x14ac:dyDescent="0.3">
      <c r="A836" s="182"/>
      <c r="B836" s="183"/>
      <c r="C836" s="25"/>
      <c r="D836" s="25"/>
      <c r="E836" s="26"/>
      <c r="F836" s="27"/>
      <c r="G836" s="19" t="s">
        <v>1079</v>
      </c>
      <c r="H836" s="27"/>
      <c r="I836" s="19" t="str">
        <f>IF(ISNUMBER(G836),E836*G836,"")</f>
        <v/>
      </c>
      <c r="J836" s="24"/>
      <c r="K836" s="19"/>
      <c r="L836" s="174">
        <v>0</v>
      </c>
    </row>
    <row r="837" spans="1:12" ht="15.75" hidden="1" thickBot="1" x14ac:dyDescent="0.3">
      <c r="A837" s="180" t="s">
        <v>603</v>
      </c>
      <c r="B837" s="178" t="str">
        <f>INDEX(Orçamentária!A:B,MATCH(Composições!A837,Orçamentária!A:A,0),2)</f>
        <v>Baguetes metálicos</v>
      </c>
      <c r="C837" s="30"/>
      <c r="D837" s="13" t="str">
        <f>TRIM(INDEX(Orçamentária!C:C,MATCH(Composições!A837,Orçamentária!A:A,0),1))</f>
        <v>m</v>
      </c>
      <c r="E837" s="14"/>
      <c r="F837" s="15" t="s">
        <v>17</v>
      </c>
      <c r="G837" s="31" t="s">
        <v>1079</v>
      </c>
      <c r="H837" s="16"/>
      <c r="I837" s="16" t="str">
        <f>IF(ISNUMBER(G837),E837*G837,"")</f>
        <v/>
      </c>
      <c r="J837" s="17"/>
      <c r="K837" s="18"/>
      <c r="L837" s="174">
        <v>0</v>
      </c>
    </row>
    <row r="838" spans="1:12" ht="15.75" hidden="1" thickBot="1" x14ac:dyDescent="0.3">
      <c r="A838" s="186"/>
      <c r="B838" s="179"/>
      <c r="C838" s="20"/>
      <c r="D838" s="20"/>
      <c r="E838" s="21"/>
      <c r="F838" s="22"/>
      <c r="G838" s="32" t="s">
        <v>1079</v>
      </c>
      <c r="H838" s="20"/>
      <c r="I838" s="19" t="str">
        <f>IF(ISNUMBER(G838),E838*G838,"")</f>
        <v/>
      </c>
      <c r="J838" s="24"/>
      <c r="K838" s="19"/>
      <c r="L838" s="174">
        <v>0</v>
      </c>
    </row>
    <row r="839" spans="1:12" ht="15.75" hidden="1" thickBot="1" x14ac:dyDescent="0.3">
      <c r="A839" s="186"/>
      <c r="B839" s="179"/>
      <c r="C839" s="25" t="s">
        <v>134</v>
      </c>
      <c r="D839" s="36" t="s">
        <v>21</v>
      </c>
      <c r="E839" s="26">
        <v>0.25</v>
      </c>
      <c r="F839" s="27" t="s">
        <v>17</v>
      </c>
      <c r="G839" s="19">
        <v>17.850499999999997</v>
      </c>
      <c r="H839" s="27" t="s">
        <v>135</v>
      </c>
      <c r="I839" s="23">
        <f>IF(ISNUMBER(G839),E839*G839,"")</f>
        <v>4.4626249999999992</v>
      </c>
      <c r="J839" s="28">
        <f>SUM(I839:I840)</f>
        <v>4.4626249999999992</v>
      </c>
      <c r="K839" s="29"/>
      <c r="L839" s="174">
        <v>0</v>
      </c>
    </row>
    <row r="840" spans="1:12" ht="15.75" hidden="1" thickBot="1" x14ac:dyDescent="0.3">
      <c r="A840" s="186"/>
      <c r="B840" s="179"/>
      <c r="C840" s="25" t="s">
        <v>604</v>
      </c>
      <c r="D840" s="36" t="s">
        <v>184</v>
      </c>
      <c r="E840" s="26">
        <v>1.05</v>
      </c>
      <c r="F840" s="27" t="s">
        <v>17</v>
      </c>
      <c r="G840" s="23" t="s">
        <v>1079</v>
      </c>
      <c r="H840" s="27" t="s">
        <v>33</v>
      </c>
      <c r="I840" s="23" t="str">
        <f>IF(ISNUMBER(G840),E840*G840,"")</f>
        <v/>
      </c>
      <c r="J840" s="24"/>
      <c r="K840" s="19"/>
      <c r="L840" s="174">
        <v>0</v>
      </c>
    </row>
    <row r="841" spans="1:12" ht="15.75" hidden="1" thickBot="1" x14ac:dyDescent="0.3">
      <c r="A841" s="187"/>
      <c r="B841" s="183"/>
      <c r="C841" s="25"/>
      <c r="D841" s="36"/>
      <c r="E841" s="26"/>
      <c r="F841" s="27"/>
      <c r="G841" s="23" t="s">
        <v>1079</v>
      </c>
      <c r="H841" s="27"/>
      <c r="I841" s="23" t="str">
        <f>IF(ISNUMBER(G841),E841*G841,"")</f>
        <v/>
      </c>
      <c r="J841" s="24"/>
      <c r="K841" s="19"/>
      <c r="L841" s="174">
        <v>0</v>
      </c>
    </row>
    <row r="842" spans="1:12" ht="15.75" hidden="1" thickBot="1" x14ac:dyDescent="0.3">
      <c r="A842" s="180" t="s">
        <v>605</v>
      </c>
      <c r="B842" s="178" t="str">
        <f>INDEX(Orçamentária!A:B,MATCH(Composições!A842,Orçamentária!A:A,0),2)</f>
        <v>Cordão de massa de vidraceiro</v>
      </c>
      <c r="C842" s="30"/>
      <c r="D842" s="13" t="str">
        <f>TRIM(INDEX(Orçamentária!C:C,MATCH(Composições!A842,Orçamentária!A:A,0),1))</f>
        <v>m</v>
      </c>
      <c r="E842" s="14"/>
      <c r="F842" s="15" t="s">
        <v>606</v>
      </c>
      <c r="G842" s="31" t="s">
        <v>1079</v>
      </c>
      <c r="H842" s="16"/>
      <c r="I842" s="16" t="str">
        <f>IF(ISNUMBER(G842),E842*G842,"")</f>
        <v/>
      </c>
      <c r="J842" s="17"/>
      <c r="K842" s="18"/>
      <c r="L842" s="174">
        <v>0</v>
      </c>
    </row>
    <row r="843" spans="1:12" ht="15.75" hidden="1" thickBot="1" x14ac:dyDescent="0.3">
      <c r="A843" s="186"/>
      <c r="B843" s="179"/>
      <c r="C843" s="20"/>
      <c r="D843" s="20"/>
      <c r="E843" s="21"/>
      <c r="F843" s="22"/>
      <c r="G843" s="32" t="s">
        <v>1079</v>
      </c>
      <c r="H843" s="20"/>
      <c r="I843" s="19" t="str">
        <f>IF(ISNUMBER(G843),E843*G843,"")</f>
        <v/>
      </c>
      <c r="J843" s="24"/>
      <c r="K843" s="19"/>
      <c r="L843" s="174">
        <v>0</v>
      </c>
    </row>
    <row r="844" spans="1:12" ht="15.75" hidden="1" thickBot="1" x14ac:dyDescent="0.3">
      <c r="A844" s="186"/>
      <c r="B844" s="179"/>
      <c r="C844" s="25" t="s">
        <v>134</v>
      </c>
      <c r="D844" s="36" t="s">
        <v>21</v>
      </c>
      <c r="E844" s="26">
        <v>0.5</v>
      </c>
      <c r="F844" s="27" t="s">
        <v>607</v>
      </c>
      <c r="G844" s="19">
        <v>17.850499999999997</v>
      </c>
      <c r="H844" s="27" t="s">
        <v>135</v>
      </c>
      <c r="I844" s="23">
        <f>IF(ISNUMBER(G844),E844*G844,"")</f>
        <v>8.9252499999999984</v>
      </c>
      <c r="J844" s="28">
        <f>SUM(I844:I846)</f>
        <v>16.37135</v>
      </c>
      <c r="K844" s="29"/>
      <c r="L844" s="174">
        <v>0</v>
      </c>
    </row>
    <row r="845" spans="1:12" ht="15.75" hidden="1" thickBot="1" x14ac:dyDescent="0.3">
      <c r="A845" s="186"/>
      <c r="B845" s="179"/>
      <c r="C845" s="25" t="s">
        <v>38</v>
      </c>
      <c r="D845" s="36" t="s">
        <v>21</v>
      </c>
      <c r="E845" s="26">
        <f>E844/2</f>
        <v>0.25</v>
      </c>
      <c r="F845" s="27" t="s">
        <v>17</v>
      </c>
      <c r="G845" s="23">
        <v>14.325999999999999</v>
      </c>
      <c r="H845" s="27" t="s">
        <v>39</v>
      </c>
      <c r="I845" s="19">
        <f>IF(ISNUMBER(G845),E845*G845,"")</f>
        <v>3.5814999999999997</v>
      </c>
      <c r="J845" s="24"/>
      <c r="K845" s="19"/>
      <c r="L845" s="174">
        <v>0</v>
      </c>
    </row>
    <row r="846" spans="1:12" ht="15.75" hidden="1" thickBot="1" x14ac:dyDescent="0.3">
      <c r="A846" s="186"/>
      <c r="B846" s="179"/>
      <c r="C846" s="25" t="s">
        <v>608</v>
      </c>
      <c r="D846" s="25" t="s">
        <v>75</v>
      </c>
      <c r="E846" s="26">
        <v>0.6</v>
      </c>
      <c r="F846" s="27" t="s">
        <v>607</v>
      </c>
      <c r="G846" s="23">
        <v>6.4409999999999998</v>
      </c>
      <c r="H846" s="27" t="s">
        <v>609</v>
      </c>
      <c r="I846" s="19">
        <f>IF(ISNUMBER(G846),E846*G846,"")</f>
        <v>3.8645999999999998</v>
      </c>
      <c r="J846" s="24"/>
      <c r="K846" s="19"/>
      <c r="L846" s="174">
        <v>0</v>
      </c>
    </row>
    <row r="847" spans="1:12" ht="15.75" hidden="1" thickBot="1" x14ac:dyDescent="0.3">
      <c r="A847" s="187"/>
      <c r="B847" s="183"/>
      <c r="C847" s="25"/>
      <c r="D847" s="25"/>
      <c r="E847" s="26"/>
      <c r="F847" s="27"/>
      <c r="G847" s="19" t="s">
        <v>1079</v>
      </c>
      <c r="H847" s="27"/>
      <c r="I847" s="19" t="str">
        <f>IF(ISNUMBER(G847),E847*G847,"")</f>
        <v/>
      </c>
      <c r="J847" s="24"/>
      <c r="K847" s="19"/>
      <c r="L847" s="174">
        <v>0</v>
      </c>
    </row>
    <row r="848" spans="1:12" ht="15.75" thickBot="1" x14ac:dyDescent="0.3">
      <c r="A848" s="288" t="s">
        <v>610</v>
      </c>
      <c r="B848" s="289" t="str">
        <f>INDEX(Orçamentária!A:B,MATCH(Composições!A848,Orçamentária!A:A,0),2)</f>
        <v>Espelho cristal, e=5 mm</v>
      </c>
      <c r="C848" s="274"/>
      <c r="D848" s="265" t="str">
        <f>TRIM(INDEX(Orçamentária!C:C,MATCH(Composições!A848,Orçamentária!A:A,0),1))</f>
        <v>m2</v>
      </c>
      <c r="E848" s="290"/>
      <c r="F848" s="259" t="s">
        <v>611</v>
      </c>
      <c r="G848" s="260" t="s">
        <v>1079</v>
      </c>
      <c r="H848" s="261"/>
      <c r="I848" s="261" t="str">
        <f>IF(ISNUMBER(G848),E848*G848,"")</f>
        <v/>
      </c>
      <c r="J848" s="280"/>
      <c r="K848" s="18"/>
      <c r="L848" s="174">
        <v>3.97</v>
      </c>
    </row>
    <row r="849" spans="1:12" x14ac:dyDescent="0.25">
      <c r="A849" s="291"/>
      <c r="B849" s="292"/>
      <c r="C849" s="155"/>
      <c r="D849" s="155"/>
      <c r="E849" s="293"/>
      <c r="F849" s="294"/>
      <c r="G849" s="262" t="s">
        <v>1079</v>
      </c>
      <c r="H849" s="155"/>
      <c r="I849" s="257" t="str">
        <f>IF(ISNUMBER(G849),E849*G849,"")</f>
        <v/>
      </c>
      <c r="J849" s="281"/>
      <c r="K849" s="19"/>
      <c r="L849" s="174">
        <v>3.97</v>
      </c>
    </row>
    <row r="850" spans="1:12" ht="25.5" x14ac:dyDescent="0.25">
      <c r="A850" s="291"/>
      <c r="B850" s="292"/>
      <c r="C850" s="105" t="s">
        <v>612</v>
      </c>
      <c r="D850" s="271" t="s">
        <v>32</v>
      </c>
      <c r="E850" s="250">
        <v>4</v>
      </c>
      <c r="F850" s="176" t="s">
        <v>613</v>
      </c>
      <c r="G850" s="258">
        <v>3.5054999999999996</v>
      </c>
      <c r="H850" s="176" t="s">
        <v>614</v>
      </c>
      <c r="I850" s="258">
        <f>IF(ISNUMBER(G850),E850*G850,"")</f>
        <v>14.021999999999998</v>
      </c>
      <c r="J850" s="295">
        <f>SUM(I850:I853)</f>
        <v>438.38889999999992</v>
      </c>
      <c r="K850" s="29"/>
      <c r="L850" s="174">
        <v>3.97</v>
      </c>
    </row>
    <row r="851" spans="1:12" x14ac:dyDescent="0.25">
      <c r="A851" s="291"/>
      <c r="B851" s="292"/>
      <c r="C851" s="105" t="s">
        <v>615</v>
      </c>
      <c r="D851" s="271" t="s">
        <v>189</v>
      </c>
      <c r="E851" s="250">
        <v>1</v>
      </c>
      <c r="F851" s="176" t="s">
        <v>613</v>
      </c>
      <c r="G851" s="257">
        <v>382.93549999999993</v>
      </c>
      <c r="H851" s="176" t="s">
        <v>616</v>
      </c>
      <c r="I851" s="258">
        <f>IF(ISNUMBER(G851),E851*G851,"")</f>
        <v>382.93549999999993</v>
      </c>
      <c r="J851" s="281"/>
      <c r="K851" s="19"/>
      <c r="L851" s="174">
        <v>3.97</v>
      </c>
    </row>
    <row r="852" spans="1:12" x14ac:dyDescent="0.25">
      <c r="A852" s="291"/>
      <c r="B852" s="292"/>
      <c r="C852" s="105" t="s">
        <v>38</v>
      </c>
      <c r="D852" s="271" t="s">
        <v>21</v>
      </c>
      <c r="E852" s="250">
        <v>0.4</v>
      </c>
      <c r="F852" s="176" t="s">
        <v>613</v>
      </c>
      <c r="G852" s="257">
        <v>14.325999999999999</v>
      </c>
      <c r="H852" s="176" t="s">
        <v>39</v>
      </c>
      <c r="I852" s="258">
        <f>IF(ISNUMBER(G852),E852*G852,"")</f>
        <v>5.7303999999999995</v>
      </c>
      <c r="J852" s="281"/>
      <c r="K852" s="19"/>
      <c r="L852" s="174">
        <v>3.97</v>
      </c>
    </row>
    <row r="853" spans="1:12" x14ac:dyDescent="0.25">
      <c r="A853" s="291"/>
      <c r="B853" s="292"/>
      <c r="C853" s="105" t="s">
        <v>134</v>
      </c>
      <c r="D853" s="271" t="s">
        <v>21</v>
      </c>
      <c r="E853" s="250">
        <v>2</v>
      </c>
      <c r="F853" s="176" t="s">
        <v>613</v>
      </c>
      <c r="G853" s="257">
        <v>17.850499999999997</v>
      </c>
      <c r="H853" s="176" t="s">
        <v>135</v>
      </c>
      <c r="I853" s="258">
        <f>IF(ISNUMBER(G853),E853*G853,"")</f>
        <v>35.700999999999993</v>
      </c>
      <c r="J853" s="281"/>
      <c r="K853" s="19"/>
      <c r="L853" s="174">
        <v>3.97</v>
      </c>
    </row>
    <row r="854" spans="1:12" ht="15.75" thickBot="1" x14ac:dyDescent="0.3">
      <c r="A854" s="296"/>
      <c r="B854" s="297"/>
      <c r="C854" s="105"/>
      <c r="D854" s="105"/>
      <c r="E854" s="250"/>
      <c r="F854" s="176"/>
      <c r="G854" s="257" t="s">
        <v>1079</v>
      </c>
      <c r="H854" s="176"/>
      <c r="I854" s="257" t="str">
        <f>IF(ISNUMBER(G854),E854*G854,"")</f>
        <v/>
      </c>
      <c r="J854" s="281"/>
      <c r="K854" s="19"/>
      <c r="L854" s="174">
        <v>3.97</v>
      </c>
    </row>
    <row r="855" spans="1:12" ht="15.75" hidden="1" thickBot="1" x14ac:dyDescent="0.3">
      <c r="A855" s="180" t="s">
        <v>617</v>
      </c>
      <c r="B855" s="178" t="str">
        <f>INDEX(Orçamentária!A:B,MATCH(Composições!A855,Orçamentária!A:A,0),2)</f>
        <v>Instalação de vidro reaproveitado</v>
      </c>
      <c r="C855" s="30"/>
      <c r="D855" s="13" t="str">
        <f>TRIM(INDEX(Orçamentária!C:C,MATCH(Composições!A855,Orçamentária!A:A,0),1))</f>
        <v>m2</v>
      </c>
      <c r="E855" s="14"/>
      <c r="F855" s="15" t="s">
        <v>618</v>
      </c>
      <c r="G855" s="31" t="s">
        <v>1079</v>
      </c>
      <c r="H855" s="16"/>
      <c r="I855" s="16" t="str">
        <f>IF(ISNUMBER(G855),E855*G855,"")</f>
        <v/>
      </c>
      <c r="J855" s="17"/>
      <c r="K855" s="18"/>
      <c r="L855" s="174">
        <v>0</v>
      </c>
    </row>
    <row r="856" spans="1:12" ht="15.75" hidden="1" thickBot="1" x14ac:dyDescent="0.3">
      <c r="A856" s="181"/>
      <c r="B856" s="179"/>
      <c r="C856" s="20"/>
      <c r="D856" s="20"/>
      <c r="E856" s="21"/>
      <c r="F856" s="22"/>
      <c r="G856" s="32" t="s">
        <v>1079</v>
      </c>
      <c r="H856" s="20"/>
      <c r="I856" s="19" t="str">
        <f>IF(ISNUMBER(G856),E856*G856,"")</f>
        <v/>
      </c>
      <c r="J856" s="24"/>
      <c r="K856" s="19"/>
      <c r="L856" s="174">
        <v>0</v>
      </c>
    </row>
    <row r="857" spans="1:12" ht="15.75" hidden="1" thickBot="1" x14ac:dyDescent="0.3">
      <c r="A857" s="181"/>
      <c r="B857" s="179"/>
      <c r="C857" s="25" t="s">
        <v>38</v>
      </c>
      <c r="D857" s="36" t="s">
        <v>21</v>
      </c>
      <c r="E857" s="26">
        <v>0.45</v>
      </c>
      <c r="F857" s="27" t="s">
        <v>619</v>
      </c>
      <c r="G857" s="19">
        <v>14.325999999999999</v>
      </c>
      <c r="H857" s="27" t="s">
        <v>39</v>
      </c>
      <c r="I857" s="23">
        <f>IF(ISNUMBER(G857),E857*G857,"")</f>
        <v>6.4466999999999999</v>
      </c>
      <c r="J857" s="28">
        <f>SUM(I857:I859)</f>
        <v>24.785024999999997</v>
      </c>
      <c r="K857" s="29"/>
      <c r="L857" s="174">
        <v>0</v>
      </c>
    </row>
    <row r="858" spans="1:12" ht="15.75" hidden="1" thickBot="1" x14ac:dyDescent="0.3">
      <c r="A858" s="181"/>
      <c r="B858" s="179"/>
      <c r="C858" s="25" t="s">
        <v>134</v>
      </c>
      <c r="D858" s="36" t="s">
        <v>21</v>
      </c>
      <c r="E858" s="26">
        <v>0.45</v>
      </c>
      <c r="F858" s="27" t="s">
        <v>619</v>
      </c>
      <c r="G858" s="19">
        <v>17.850499999999997</v>
      </c>
      <c r="H858" s="27" t="s">
        <v>135</v>
      </c>
      <c r="I858" s="23">
        <f>IF(ISNUMBER(G858),E858*G858,"")</f>
        <v>8.0327249999999992</v>
      </c>
      <c r="J858" s="24"/>
      <c r="K858" s="19"/>
      <c r="L858" s="174">
        <v>0</v>
      </c>
    </row>
    <row r="859" spans="1:12" ht="15.75" hidden="1" thickBot="1" x14ac:dyDescent="0.3">
      <c r="A859" s="181"/>
      <c r="B859" s="179"/>
      <c r="C859" s="25" t="s">
        <v>608</v>
      </c>
      <c r="D859" s="36" t="s">
        <v>75</v>
      </c>
      <c r="E859" s="26">
        <v>1.6</v>
      </c>
      <c r="F859" s="27" t="s">
        <v>619</v>
      </c>
      <c r="G859" s="23">
        <v>6.4409999999999998</v>
      </c>
      <c r="H859" s="27" t="s">
        <v>609</v>
      </c>
      <c r="I859" s="23">
        <f>IF(ISNUMBER(G859),E859*G859,"")</f>
        <v>10.3056</v>
      </c>
      <c r="J859" s="24"/>
      <c r="K859" s="19"/>
      <c r="L859" s="174">
        <v>0</v>
      </c>
    </row>
    <row r="860" spans="1:12" ht="15.75" hidden="1" thickBot="1" x14ac:dyDescent="0.3">
      <c r="A860" s="181"/>
      <c r="B860" s="179"/>
      <c r="C860" s="25"/>
      <c r="D860" s="36"/>
      <c r="E860" s="26"/>
      <c r="F860" s="27"/>
      <c r="G860" s="23" t="s">
        <v>1079</v>
      </c>
      <c r="H860" s="27"/>
      <c r="I860" s="23" t="str">
        <f>IF(ISNUMBER(G860),E860*G860,"")</f>
        <v/>
      </c>
      <c r="J860" s="24"/>
      <c r="K860" s="19"/>
      <c r="L860" s="174">
        <v>0</v>
      </c>
    </row>
    <row r="861" spans="1:12" ht="15.75" hidden="1" thickBot="1" x14ac:dyDescent="0.3">
      <c r="A861" s="180" t="s">
        <v>620</v>
      </c>
      <c r="B861" s="178" t="str">
        <f>INDEX(Orçamentária!A:B,MATCH(Composições!A861,Orçamentária!A:A,0),2)</f>
        <v>Substituição da calafetação com selante</v>
      </c>
      <c r="C861" s="30"/>
      <c r="D861" s="13" t="str">
        <f>TRIM(INDEX(Orçamentária!C:C,MATCH(Composições!A861,Orçamentária!A:A,0),1))</f>
        <v>m</v>
      </c>
      <c r="E861" s="14"/>
      <c r="F861" s="15" t="s">
        <v>17</v>
      </c>
      <c r="G861" s="31" t="s">
        <v>1079</v>
      </c>
      <c r="H861" s="16"/>
      <c r="I861" s="16" t="str">
        <f>IF(ISNUMBER(G861),E861*G861,"")</f>
        <v/>
      </c>
      <c r="J861" s="17"/>
      <c r="K861" s="18"/>
      <c r="L861" s="174">
        <v>0</v>
      </c>
    </row>
    <row r="862" spans="1:12" ht="15.75" hidden="1" thickBot="1" x14ac:dyDescent="0.3">
      <c r="A862" s="186"/>
      <c r="B862" s="179"/>
      <c r="C862" s="20"/>
      <c r="D862" s="20"/>
      <c r="E862" s="21"/>
      <c r="F862" s="22"/>
      <c r="G862" s="32" t="s">
        <v>1079</v>
      </c>
      <c r="H862" s="20"/>
      <c r="I862" s="19" t="str">
        <f>IF(ISNUMBER(G862),E862*G862,"")</f>
        <v/>
      </c>
      <c r="J862" s="24"/>
      <c r="K862" s="19"/>
      <c r="L862" s="174">
        <v>0</v>
      </c>
    </row>
    <row r="863" spans="1:12" ht="15.75" hidden="1" thickBot="1" x14ac:dyDescent="0.3">
      <c r="A863" s="186"/>
      <c r="B863" s="179"/>
      <c r="C863" s="25" t="s">
        <v>134</v>
      </c>
      <c r="D863" s="36" t="s">
        <v>21</v>
      </c>
      <c r="E863" s="26">
        <v>0.5</v>
      </c>
      <c r="F863" s="27" t="s">
        <v>606</v>
      </c>
      <c r="G863" s="19">
        <v>17.850499999999997</v>
      </c>
      <c r="H863" s="27" t="s">
        <v>135</v>
      </c>
      <c r="I863" s="19">
        <f>IF(ISNUMBER(G863),E863*G863,"")</f>
        <v>8.9252499999999984</v>
      </c>
      <c r="J863" s="28">
        <f>SUM(I863:I865)</f>
        <v>17.291104849999996</v>
      </c>
      <c r="K863" s="29"/>
      <c r="L863" s="174">
        <v>0</v>
      </c>
    </row>
    <row r="864" spans="1:12" ht="15.75" hidden="1" thickBot="1" x14ac:dyDescent="0.3">
      <c r="A864" s="186"/>
      <c r="B864" s="179"/>
      <c r="C864" s="25" t="s">
        <v>38</v>
      </c>
      <c r="D864" s="36" t="s">
        <v>21</v>
      </c>
      <c r="E864" s="26">
        <f>E863/2</f>
        <v>0.25</v>
      </c>
      <c r="F864" s="27" t="s">
        <v>17</v>
      </c>
      <c r="G864" s="23">
        <v>14.325999999999999</v>
      </c>
      <c r="H864" s="27" t="s">
        <v>39</v>
      </c>
      <c r="I864" s="19">
        <f>IF(ISNUMBER(G864),E864*G864,"")</f>
        <v>3.5814999999999997</v>
      </c>
      <c r="J864" s="24"/>
      <c r="K864" s="19"/>
      <c r="L864" s="174">
        <v>0</v>
      </c>
    </row>
    <row r="865" spans="1:12" ht="15.75" hidden="1" thickBot="1" x14ac:dyDescent="0.3">
      <c r="A865" s="186"/>
      <c r="B865" s="179"/>
      <c r="C865" s="25" t="s">
        <v>621</v>
      </c>
      <c r="D865" s="36" t="s">
        <v>32</v>
      </c>
      <c r="E865" s="26">
        <f>ROUND(1/3,4)</f>
        <v>0.33329999999999999</v>
      </c>
      <c r="F865" s="27" t="s">
        <v>17</v>
      </c>
      <c r="G865" s="23">
        <v>14.354499999999998</v>
      </c>
      <c r="H865" s="27" t="s">
        <v>622</v>
      </c>
      <c r="I865" s="19">
        <f>IF(ISNUMBER(G865),E865*G865,"")</f>
        <v>4.7843548499999988</v>
      </c>
      <c r="J865" s="24"/>
      <c r="K865" s="19"/>
      <c r="L865" s="174">
        <v>0</v>
      </c>
    </row>
    <row r="866" spans="1:12" ht="15.75" hidden="1" thickBot="1" x14ac:dyDescent="0.3">
      <c r="A866" s="186"/>
      <c r="B866" s="179"/>
      <c r="C866" s="25"/>
      <c r="D866" s="36"/>
      <c r="E866" s="26"/>
      <c r="F866" s="27"/>
      <c r="G866" s="19" t="s">
        <v>1079</v>
      </c>
      <c r="H866" s="27"/>
      <c r="I866" s="19" t="str">
        <f>IF(ISNUMBER(G866),E866*G866,"")</f>
        <v/>
      </c>
      <c r="J866" s="24"/>
      <c r="K866" s="19"/>
      <c r="L866" s="174">
        <v>0</v>
      </c>
    </row>
    <row r="867" spans="1:12" ht="26.25" hidden="1" thickBot="1" x14ac:dyDescent="0.3">
      <c r="A867" s="186"/>
      <c r="B867" s="179"/>
      <c r="C867" s="50" t="s">
        <v>623</v>
      </c>
      <c r="D867" s="50"/>
      <c r="E867" s="51"/>
      <c r="F867" s="52"/>
      <c r="G867" s="53" t="s">
        <v>1079</v>
      </c>
      <c r="H867" s="50"/>
      <c r="I867" s="50" t="str">
        <f>IF(ISNUMBER(G867),E867*G867,"")</f>
        <v/>
      </c>
      <c r="J867" s="54"/>
      <c r="K867" s="50"/>
      <c r="L867" s="174">
        <v>0</v>
      </c>
    </row>
    <row r="868" spans="1:12" ht="15.75" hidden="1" thickBot="1" x14ac:dyDescent="0.3">
      <c r="A868" s="187"/>
      <c r="B868" s="183"/>
      <c r="C868" s="25"/>
      <c r="D868" s="25"/>
      <c r="E868" s="26"/>
      <c r="F868" s="27"/>
      <c r="G868" s="19" t="s">
        <v>1079</v>
      </c>
      <c r="H868" s="27"/>
      <c r="I868" s="19" t="str">
        <f>IF(ISNUMBER(G868),E868*G868,"")</f>
        <v/>
      </c>
      <c r="J868" s="24"/>
      <c r="K868" s="19"/>
      <c r="L868" s="174">
        <v>0</v>
      </c>
    </row>
    <row r="869" spans="1:12" ht="15.75" thickBot="1" x14ac:dyDescent="0.3">
      <c r="A869" s="288" t="s">
        <v>624</v>
      </c>
      <c r="B869" s="289" t="str">
        <f>INDEX(Orçamentária!A:B,MATCH(Composições!A869,Orçamentária!A:A,0),2)</f>
        <v>Vidro liso comum transparente 4mm</v>
      </c>
      <c r="C869" s="274"/>
      <c r="D869" s="265" t="str">
        <f>TRIM(INDEX(Orçamentária!C:C,MATCH(Composições!A869,Orçamentária!A:A,0),1))</f>
        <v>m2</v>
      </c>
      <c r="E869" s="290"/>
      <c r="F869" s="259" t="s">
        <v>619</v>
      </c>
      <c r="G869" s="260" t="s">
        <v>1079</v>
      </c>
      <c r="H869" s="261"/>
      <c r="I869" s="261" t="str">
        <f>IF(ISNUMBER(G869),E869*G869,"")</f>
        <v/>
      </c>
      <c r="J869" s="280"/>
      <c r="K869" s="18"/>
      <c r="L869" s="174">
        <v>0.72</v>
      </c>
    </row>
    <row r="870" spans="1:12" x14ac:dyDescent="0.25">
      <c r="A870" s="300"/>
      <c r="B870" s="292"/>
      <c r="C870" s="155"/>
      <c r="D870" s="155"/>
      <c r="E870" s="293"/>
      <c r="F870" s="294"/>
      <c r="G870" s="262" t="s">
        <v>1079</v>
      </c>
      <c r="H870" s="155"/>
      <c r="I870" s="257" t="str">
        <f>IF(ISNUMBER(G870),E870*G870,"")</f>
        <v/>
      </c>
      <c r="J870" s="281"/>
      <c r="K870" s="19"/>
      <c r="L870" s="174">
        <v>0.72</v>
      </c>
    </row>
    <row r="871" spans="1:12" x14ac:dyDescent="0.25">
      <c r="A871" s="300"/>
      <c r="B871" s="292"/>
      <c r="C871" s="105" t="s">
        <v>38</v>
      </c>
      <c r="D871" s="271" t="s">
        <v>21</v>
      </c>
      <c r="E871" s="250">
        <v>0.45</v>
      </c>
      <c r="F871" s="176" t="s">
        <v>619</v>
      </c>
      <c r="G871" s="257">
        <v>14.325999999999999</v>
      </c>
      <c r="H871" s="176" t="s">
        <v>39</v>
      </c>
      <c r="I871" s="258">
        <f>IF(ISNUMBER(G871),E871*G871,"")</f>
        <v>6.4466999999999999</v>
      </c>
      <c r="J871" s="295">
        <f>SUM(I871:I874)</f>
        <v>126.11202499999999</v>
      </c>
      <c r="K871" s="29"/>
      <c r="L871" s="174">
        <v>0.72</v>
      </c>
    </row>
    <row r="872" spans="1:12" x14ac:dyDescent="0.25">
      <c r="A872" s="300"/>
      <c r="B872" s="292"/>
      <c r="C872" s="105" t="s">
        <v>134</v>
      </c>
      <c r="D872" s="271" t="s">
        <v>21</v>
      </c>
      <c r="E872" s="250">
        <v>0.45</v>
      </c>
      <c r="F872" s="176" t="s">
        <v>619</v>
      </c>
      <c r="G872" s="257">
        <v>17.850499999999997</v>
      </c>
      <c r="H872" s="176" t="s">
        <v>135</v>
      </c>
      <c r="I872" s="258">
        <f>IF(ISNUMBER(G872),E872*G872,"")</f>
        <v>8.0327249999999992</v>
      </c>
      <c r="J872" s="281"/>
      <c r="K872" s="19"/>
      <c r="L872" s="174">
        <v>0.72</v>
      </c>
    </row>
    <row r="873" spans="1:12" x14ac:dyDescent="0.25">
      <c r="A873" s="300"/>
      <c r="B873" s="292"/>
      <c r="C873" s="105" t="s">
        <v>625</v>
      </c>
      <c r="D873" s="271" t="s">
        <v>189</v>
      </c>
      <c r="E873" s="250">
        <v>1</v>
      </c>
      <c r="F873" s="176" t="s">
        <v>619</v>
      </c>
      <c r="G873" s="258">
        <v>101.327</v>
      </c>
      <c r="H873" s="176" t="s">
        <v>626</v>
      </c>
      <c r="I873" s="258">
        <f>IF(ISNUMBER(G873),E873*G873,"")</f>
        <v>101.327</v>
      </c>
      <c r="J873" s="281"/>
      <c r="K873" s="19"/>
      <c r="L873" s="174">
        <v>0.72</v>
      </c>
    </row>
    <row r="874" spans="1:12" x14ac:dyDescent="0.25">
      <c r="A874" s="300"/>
      <c r="B874" s="292"/>
      <c r="C874" s="105" t="s">
        <v>608</v>
      </c>
      <c r="D874" s="271" t="s">
        <v>75</v>
      </c>
      <c r="E874" s="250">
        <v>1.6</v>
      </c>
      <c r="F874" s="176" t="s">
        <v>619</v>
      </c>
      <c r="G874" s="258">
        <v>6.4409999999999998</v>
      </c>
      <c r="H874" s="176" t="s">
        <v>609</v>
      </c>
      <c r="I874" s="258">
        <f>IF(ISNUMBER(G874),E874*G874,"")</f>
        <v>10.3056</v>
      </c>
      <c r="J874" s="281"/>
      <c r="K874" s="19"/>
      <c r="L874" s="174">
        <v>0.72</v>
      </c>
    </row>
    <row r="875" spans="1:12" ht="15.75" thickBot="1" x14ac:dyDescent="0.3">
      <c r="A875" s="301"/>
      <c r="B875" s="297"/>
      <c r="C875" s="105"/>
      <c r="D875" s="105"/>
      <c r="E875" s="250"/>
      <c r="F875" s="176"/>
      <c r="G875" s="257" t="s">
        <v>1079</v>
      </c>
      <c r="H875" s="176"/>
      <c r="I875" s="257" t="str">
        <f>IF(ISNUMBER(G875),E875*G875,"")</f>
        <v/>
      </c>
      <c r="J875" s="281"/>
      <c r="K875" s="19"/>
      <c r="L875" s="174">
        <v>0.72</v>
      </c>
    </row>
    <row r="876" spans="1:12" ht="15.75" thickBot="1" x14ac:dyDescent="0.3">
      <c r="A876" s="288" t="s">
        <v>627</v>
      </c>
      <c r="B876" s="289" t="str">
        <f>INDEX(Orçamentária!A:B,MATCH(Composições!A876,Orçamentária!A:A,0),2)</f>
        <v>Vidro liso comum transparente 6mm</v>
      </c>
      <c r="C876" s="274"/>
      <c r="D876" s="265" t="str">
        <f>TRIM(INDEX(Orçamentária!C:C,MATCH(Composições!A876,Orçamentária!A:A,0),1))</f>
        <v>m2</v>
      </c>
      <c r="E876" s="290"/>
      <c r="F876" s="259" t="s">
        <v>628</v>
      </c>
      <c r="G876" s="260" t="s">
        <v>1079</v>
      </c>
      <c r="H876" s="261"/>
      <c r="I876" s="261" t="str">
        <f>IF(ISNUMBER(G876),E876*G876,"")</f>
        <v/>
      </c>
      <c r="J876" s="280"/>
      <c r="K876" s="18"/>
      <c r="L876" s="174">
        <v>0.36</v>
      </c>
    </row>
    <row r="877" spans="1:12" x14ac:dyDescent="0.25">
      <c r="A877" s="300"/>
      <c r="B877" s="292"/>
      <c r="C877" s="155"/>
      <c r="D877" s="155"/>
      <c r="E877" s="293"/>
      <c r="F877" s="294"/>
      <c r="G877" s="262" t="s">
        <v>1079</v>
      </c>
      <c r="H877" s="155"/>
      <c r="I877" s="257" t="str">
        <f>IF(ISNUMBER(G877),E877*G877,"")</f>
        <v/>
      </c>
      <c r="J877" s="281"/>
      <c r="K877" s="19"/>
      <c r="L877" s="174">
        <v>0.36</v>
      </c>
    </row>
    <row r="878" spans="1:12" x14ac:dyDescent="0.25">
      <c r="A878" s="300"/>
      <c r="B878" s="292"/>
      <c r="C878" s="105" t="s">
        <v>38</v>
      </c>
      <c r="D878" s="271" t="s">
        <v>21</v>
      </c>
      <c r="E878" s="250">
        <v>0.2</v>
      </c>
      <c r="F878" s="176" t="s">
        <v>628</v>
      </c>
      <c r="G878" s="257">
        <v>14.325999999999999</v>
      </c>
      <c r="H878" s="176" t="s">
        <v>39</v>
      </c>
      <c r="I878" s="257">
        <f>IF(ISNUMBER(G878),E878*G878,"")</f>
        <v>2.8651999999999997</v>
      </c>
      <c r="J878" s="295">
        <f>SUM(I878:I881)</f>
        <v>177.15220000000002</v>
      </c>
      <c r="K878" s="29"/>
      <c r="L878" s="174">
        <v>0.36</v>
      </c>
    </row>
    <row r="879" spans="1:12" x14ac:dyDescent="0.25">
      <c r="A879" s="300"/>
      <c r="B879" s="292"/>
      <c r="C879" s="105" t="s">
        <v>134</v>
      </c>
      <c r="D879" s="271" t="s">
        <v>21</v>
      </c>
      <c r="E879" s="250">
        <v>1</v>
      </c>
      <c r="F879" s="176" t="s">
        <v>628</v>
      </c>
      <c r="G879" s="257">
        <v>17.850499999999997</v>
      </c>
      <c r="H879" s="176" t="s">
        <v>135</v>
      </c>
      <c r="I879" s="257">
        <f>IF(ISNUMBER(G879),E879*G879,"")</f>
        <v>17.850499999999997</v>
      </c>
      <c r="J879" s="281"/>
      <c r="K879" s="19"/>
      <c r="L879" s="174">
        <v>0.36</v>
      </c>
    </row>
    <row r="880" spans="1:12" x14ac:dyDescent="0.25">
      <c r="A880" s="300"/>
      <c r="B880" s="292"/>
      <c r="C880" s="105" t="s">
        <v>629</v>
      </c>
      <c r="D880" s="271" t="s">
        <v>189</v>
      </c>
      <c r="E880" s="250">
        <v>1</v>
      </c>
      <c r="F880" s="176" t="s">
        <v>628</v>
      </c>
      <c r="G880" s="258">
        <v>143.55450000000002</v>
      </c>
      <c r="H880" s="176" t="s">
        <v>630</v>
      </c>
      <c r="I880" s="257">
        <f>IF(ISNUMBER(G880),E880*G880,"")</f>
        <v>143.55450000000002</v>
      </c>
      <c r="J880" s="281"/>
      <c r="K880" s="19"/>
      <c r="L880" s="174">
        <v>0.36</v>
      </c>
    </row>
    <row r="881" spans="1:12" x14ac:dyDescent="0.25">
      <c r="A881" s="300"/>
      <c r="B881" s="292"/>
      <c r="C881" s="105" t="s">
        <v>608</v>
      </c>
      <c r="D881" s="271" t="s">
        <v>75</v>
      </c>
      <c r="E881" s="250">
        <v>2</v>
      </c>
      <c r="F881" s="176" t="s">
        <v>628</v>
      </c>
      <c r="G881" s="258">
        <v>6.4409999999999998</v>
      </c>
      <c r="H881" s="176" t="s">
        <v>609</v>
      </c>
      <c r="I881" s="257">
        <f>IF(ISNUMBER(G881),E881*G881,"")</f>
        <v>12.882</v>
      </c>
      <c r="J881" s="281"/>
      <c r="K881" s="19"/>
      <c r="L881" s="174">
        <v>0.36</v>
      </c>
    </row>
    <row r="882" spans="1:12" ht="15.75" thickBot="1" x14ac:dyDescent="0.3">
      <c r="A882" s="301"/>
      <c r="B882" s="297"/>
      <c r="C882" s="105"/>
      <c r="D882" s="105"/>
      <c r="E882" s="250"/>
      <c r="F882" s="176"/>
      <c r="G882" s="257" t="s">
        <v>1079</v>
      </c>
      <c r="H882" s="176"/>
      <c r="I882" s="257" t="str">
        <f>IF(ISNUMBER(G882),E882*G882,"")</f>
        <v/>
      </c>
      <c r="J882" s="281"/>
      <c r="K882" s="19"/>
      <c r="L882" s="174">
        <v>0.36</v>
      </c>
    </row>
    <row r="883" spans="1:12" ht="15.75" hidden="1" thickBot="1" x14ac:dyDescent="0.3">
      <c r="A883" s="180" t="s">
        <v>631</v>
      </c>
      <c r="B883" s="178" t="str">
        <f>INDEX(Orçamentária!A:B,MATCH(Composições!A883,Orçamentária!A:A,0),2)</f>
        <v>Instalação de painéis de vidro temperado reaproveitados</v>
      </c>
      <c r="C883" s="30"/>
      <c r="D883" s="13" t="str">
        <f>TRIM(INDEX(Orçamentária!C:C,MATCH(Composições!A883,Orçamentária!A:A,0),1))</f>
        <v>m2</v>
      </c>
      <c r="E883" s="14"/>
      <c r="F883" s="15" t="s">
        <v>632</v>
      </c>
      <c r="G883" s="31" t="s">
        <v>1079</v>
      </c>
      <c r="H883" s="16"/>
      <c r="I883" s="16" t="str">
        <f>IF(ISNUMBER(G883),E883*G883,"")</f>
        <v/>
      </c>
      <c r="J883" s="17"/>
      <c r="K883" s="18"/>
      <c r="L883" s="174">
        <v>0</v>
      </c>
    </row>
    <row r="884" spans="1:12" ht="15.75" hidden="1" thickBot="1" x14ac:dyDescent="0.3">
      <c r="A884" s="181"/>
      <c r="B884" s="179"/>
      <c r="C884" s="20"/>
      <c r="D884" s="20"/>
      <c r="E884" s="21"/>
      <c r="F884" s="22"/>
      <c r="G884" s="32" t="s">
        <v>1079</v>
      </c>
      <c r="H884" s="20"/>
      <c r="I884" s="19" t="str">
        <f>IF(ISNUMBER(G884),E884*G884,"")</f>
        <v/>
      </c>
      <c r="J884" s="24"/>
      <c r="K884" s="19"/>
      <c r="L884" s="174">
        <v>0</v>
      </c>
    </row>
    <row r="885" spans="1:12" ht="15.75" hidden="1" thickBot="1" x14ac:dyDescent="0.3">
      <c r="A885" s="181"/>
      <c r="B885" s="179"/>
      <c r="C885" s="25" t="s">
        <v>134</v>
      </c>
      <c r="D885" s="25" t="s">
        <v>21</v>
      </c>
      <c r="E885" s="26">
        <f>2.2/2</f>
        <v>1.1000000000000001</v>
      </c>
      <c r="F885" s="27" t="s">
        <v>632</v>
      </c>
      <c r="G885" s="19">
        <v>17.850499999999997</v>
      </c>
      <c r="H885" s="27" t="s">
        <v>135</v>
      </c>
      <c r="I885" s="23">
        <f>IF(ISNUMBER(G885),E885*G885,"")</f>
        <v>19.635549999999999</v>
      </c>
      <c r="J885" s="28">
        <f>SUM(I885:I886)</f>
        <v>35.394149999999996</v>
      </c>
      <c r="K885" s="29"/>
      <c r="L885" s="174">
        <v>0</v>
      </c>
    </row>
    <row r="886" spans="1:12" ht="15.75" hidden="1" thickBot="1" x14ac:dyDescent="0.3">
      <c r="A886" s="181"/>
      <c r="B886" s="179"/>
      <c r="C886" s="25" t="s">
        <v>38</v>
      </c>
      <c r="D886" s="36" t="s">
        <v>21</v>
      </c>
      <c r="E886" s="26">
        <f>2.2/2</f>
        <v>1.1000000000000001</v>
      </c>
      <c r="F886" s="27" t="s">
        <v>632</v>
      </c>
      <c r="G886" s="19">
        <v>14.325999999999999</v>
      </c>
      <c r="H886" s="27" t="s">
        <v>39</v>
      </c>
      <c r="I886" s="23">
        <f>IF(ISNUMBER(G886),E886*G886,"")</f>
        <v>15.758599999999999</v>
      </c>
      <c r="J886" s="24"/>
      <c r="K886" s="19"/>
      <c r="L886" s="174">
        <v>0</v>
      </c>
    </row>
    <row r="887" spans="1:12" ht="15.75" hidden="1" thickBot="1" x14ac:dyDescent="0.3">
      <c r="A887" s="182"/>
      <c r="B887" s="183"/>
      <c r="C887" s="25"/>
      <c r="D887" s="25"/>
      <c r="E887" s="26"/>
      <c r="F887" s="27"/>
      <c r="G887" s="19" t="s">
        <v>1079</v>
      </c>
      <c r="H887" s="27"/>
      <c r="I887" s="19" t="str">
        <f>IF(ISNUMBER(G887),E887*G887,"")</f>
        <v/>
      </c>
      <c r="J887" s="24"/>
      <c r="K887" s="19"/>
      <c r="L887" s="174">
        <v>0</v>
      </c>
    </row>
    <row r="888" spans="1:12" ht="15.75" hidden="1" thickBot="1" x14ac:dyDescent="0.3">
      <c r="A888" s="180" t="s">
        <v>633</v>
      </c>
      <c r="B888" s="178" t="str">
        <f>INDEX(Orçamentária!A:B,MATCH(Composições!A888,Orçamentária!A:A,0),2)</f>
        <v>Mola hidráulica de piso</v>
      </c>
      <c r="C888" s="30"/>
      <c r="D888" s="13" t="str">
        <f>TRIM(INDEX(Orçamentária!C:C,MATCH(Composições!A888,Orçamentária!A:A,0),1))</f>
        <v>un</v>
      </c>
      <c r="E888" s="14"/>
      <c r="F888" s="15" t="s">
        <v>634</v>
      </c>
      <c r="G888" s="31" t="s">
        <v>1079</v>
      </c>
      <c r="H888" s="16"/>
      <c r="I888" s="16" t="str">
        <f>IF(ISNUMBER(G888),E888*G888,"")</f>
        <v/>
      </c>
      <c r="J888" s="17"/>
      <c r="K888" s="18"/>
      <c r="L888" s="174">
        <v>0</v>
      </c>
    </row>
    <row r="889" spans="1:12" ht="15.75" hidden="1" thickBot="1" x14ac:dyDescent="0.3">
      <c r="A889" s="181"/>
      <c r="B889" s="179"/>
      <c r="C889" s="20"/>
      <c r="D889" s="20"/>
      <c r="E889" s="21"/>
      <c r="F889" s="22"/>
      <c r="G889" s="32" t="s">
        <v>1079</v>
      </c>
      <c r="H889" s="20"/>
      <c r="I889" s="19" t="str">
        <f>IF(ISNUMBER(G889),E889*G889,"")</f>
        <v/>
      </c>
      <c r="J889" s="24"/>
      <c r="K889" s="19"/>
      <c r="L889" s="174">
        <v>0</v>
      </c>
    </row>
    <row r="890" spans="1:12" ht="15.75" hidden="1" thickBot="1" x14ac:dyDescent="0.3">
      <c r="A890" s="181"/>
      <c r="B890" s="179"/>
      <c r="C890" s="25" t="s">
        <v>134</v>
      </c>
      <c r="D890" s="25" t="s">
        <v>21</v>
      </c>
      <c r="E890" s="26">
        <v>0.75</v>
      </c>
      <c r="F890" s="27" t="s">
        <v>635</v>
      </c>
      <c r="G890" s="19">
        <v>17.850499999999997</v>
      </c>
      <c r="H890" s="27" t="s">
        <v>135</v>
      </c>
      <c r="I890" s="23">
        <f>IF(ISNUMBER(G890),E890*G890,"")</f>
        <v>13.387874999999998</v>
      </c>
      <c r="J890" s="28">
        <f>SUM(I890:I893)</f>
        <v>17.685674999999996</v>
      </c>
      <c r="K890" s="29"/>
      <c r="L890" s="174">
        <v>0</v>
      </c>
    </row>
    <row r="891" spans="1:12" ht="15.75" hidden="1" thickBot="1" x14ac:dyDescent="0.3">
      <c r="A891" s="181"/>
      <c r="B891" s="179"/>
      <c r="C891" s="25" t="s">
        <v>38</v>
      </c>
      <c r="D891" s="36" t="s">
        <v>21</v>
      </c>
      <c r="E891" s="26">
        <v>0.3</v>
      </c>
      <c r="F891" s="27" t="s">
        <v>635</v>
      </c>
      <c r="G891" s="19">
        <v>14.325999999999999</v>
      </c>
      <c r="H891" s="27" t="s">
        <v>39</v>
      </c>
      <c r="I891" s="23">
        <f>IF(ISNUMBER(G891),E891*G891,"")</f>
        <v>4.2977999999999996</v>
      </c>
      <c r="J891" s="34"/>
      <c r="K891" s="35"/>
      <c r="L891" s="174">
        <v>0</v>
      </c>
    </row>
    <row r="892" spans="1:12" ht="39" hidden="1" thickBot="1" x14ac:dyDescent="0.3">
      <c r="A892" s="181"/>
      <c r="B892" s="179"/>
      <c r="C892" s="25" t="s">
        <v>636</v>
      </c>
      <c r="D892" s="25" t="s">
        <v>32</v>
      </c>
      <c r="E892" s="26">
        <v>1</v>
      </c>
      <c r="F892" s="27" t="s">
        <v>635</v>
      </c>
      <c r="G892" s="19" t="s">
        <v>1079</v>
      </c>
      <c r="H892" s="27" t="s">
        <v>33</v>
      </c>
      <c r="I892" s="19" t="str">
        <f>IF(ISNUMBER(G892),E892*G892,"")</f>
        <v/>
      </c>
      <c r="J892" s="24"/>
      <c r="K892" s="19"/>
      <c r="L892" s="174">
        <v>0</v>
      </c>
    </row>
    <row r="893" spans="1:12" ht="15.75" hidden="1" thickBot="1" x14ac:dyDescent="0.3">
      <c r="A893" s="181"/>
      <c r="B893" s="179"/>
      <c r="C893" s="25" t="s">
        <v>637</v>
      </c>
      <c r="D893" s="25" t="s">
        <v>32</v>
      </c>
      <c r="E893" s="26">
        <v>1</v>
      </c>
      <c r="F893" s="27" t="s">
        <v>17</v>
      </c>
      <c r="G893" s="19" t="s">
        <v>1079</v>
      </c>
      <c r="H893" s="27" t="s">
        <v>33</v>
      </c>
      <c r="I893" s="19" t="str">
        <f>IF(ISNUMBER(G893),E893*G893,"")</f>
        <v/>
      </c>
      <c r="J893" s="24"/>
      <c r="K893" s="19"/>
      <c r="L893" s="174">
        <v>0</v>
      </c>
    </row>
    <row r="894" spans="1:12" ht="15.75" hidden="1" thickBot="1" x14ac:dyDescent="0.3">
      <c r="A894" s="182"/>
      <c r="B894" s="183"/>
      <c r="C894" s="25"/>
      <c r="D894" s="25"/>
      <c r="E894" s="26"/>
      <c r="F894" s="27"/>
      <c r="G894" s="19" t="s">
        <v>1079</v>
      </c>
      <c r="H894" s="27"/>
      <c r="I894" s="19" t="str">
        <f>IF(ISNUMBER(G894),E894*G894,"")</f>
        <v/>
      </c>
      <c r="J894" s="24"/>
      <c r="K894" s="19"/>
      <c r="L894" s="174">
        <v>0</v>
      </c>
    </row>
    <row r="895" spans="1:12" ht="15.75" hidden="1" thickBot="1" x14ac:dyDescent="0.3">
      <c r="A895" s="180" t="s">
        <v>638</v>
      </c>
      <c r="B895" s="178" t="str">
        <f>INDEX(Orçamentária!A:B,MATCH(Composições!A895,Orçamentária!A:A,0),2)</f>
        <v>Instalação de persianas reaproveitadas</v>
      </c>
      <c r="C895" s="30"/>
      <c r="D895" s="13" t="str">
        <f>TRIM(INDEX(Orçamentária!C:C,MATCH(Composições!A895,Orçamentária!A:A,0),1))</f>
        <v>m</v>
      </c>
      <c r="E895" s="14"/>
      <c r="F895" s="15" t="s">
        <v>17</v>
      </c>
      <c r="G895" s="31" t="s">
        <v>1079</v>
      </c>
      <c r="H895" s="16"/>
      <c r="I895" s="16" t="str">
        <f>IF(ISNUMBER(G895),E895*G895,"")</f>
        <v/>
      </c>
      <c r="J895" s="17"/>
      <c r="K895" s="18"/>
      <c r="L895" s="174">
        <v>0</v>
      </c>
    </row>
    <row r="896" spans="1:12" ht="15.75" hidden="1" thickBot="1" x14ac:dyDescent="0.3">
      <c r="A896" s="181"/>
      <c r="B896" s="179"/>
      <c r="C896" s="20"/>
      <c r="D896" s="20"/>
      <c r="E896" s="21"/>
      <c r="F896" s="22"/>
      <c r="G896" s="32" t="s">
        <v>1079</v>
      </c>
      <c r="H896" s="20"/>
      <c r="I896" s="19" t="str">
        <f>IF(ISNUMBER(G896),E896*G896,"")</f>
        <v/>
      </c>
      <c r="J896" s="24"/>
      <c r="K896" s="19"/>
      <c r="L896" s="174">
        <v>0</v>
      </c>
    </row>
    <row r="897" spans="1:12" ht="15.75" hidden="1" thickBot="1" x14ac:dyDescent="0.3">
      <c r="A897" s="181"/>
      <c r="B897" s="179"/>
      <c r="C897" s="25" t="s">
        <v>92</v>
      </c>
      <c r="D897" s="25" t="s">
        <v>21</v>
      </c>
      <c r="E897" s="26">
        <f>ROUND(1/3,4)</f>
        <v>0.33329999999999999</v>
      </c>
      <c r="F897" s="27" t="s">
        <v>17</v>
      </c>
      <c r="G897" s="19">
        <v>16.881499999999999</v>
      </c>
      <c r="H897" s="27" t="s">
        <v>93</v>
      </c>
      <c r="I897" s="23">
        <f>IF(ISNUMBER(G897),E897*G897,"")</f>
        <v>5.6266039499999998</v>
      </c>
      <c r="J897" s="28">
        <f>SUM(I897:I897)</f>
        <v>5.6266039499999998</v>
      </c>
      <c r="K897" s="29"/>
      <c r="L897" s="174">
        <v>0</v>
      </c>
    </row>
    <row r="898" spans="1:12" ht="15.75" hidden="1" thickBot="1" x14ac:dyDescent="0.3">
      <c r="A898" s="182"/>
      <c r="B898" s="183"/>
      <c r="C898" s="25"/>
      <c r="D898" s="25"/>
      <c r="E898" s="26"/>
      <c r="F898" s="27"/>
      <c r="G898" s="19" t="s">
        <v>1079</v>
      </c>
      <c r="H898" s="27"/>
      <c r="I898" s="19" t="str">
        <f>IF(ISNUMBER(G898),E898*G898,"")</f>
        <v/>
      </c>
      <c r="J898" s="24"/>
      <c r="K898" s="19"/>
      <c r="L898" s="174">
        <v>0</v>
      </c>
    </row>
    <row r="899" spans="1:12" ht="15.75" hidden="1" thickBot="1" x14ac:dyDescent="0.3">
      <c r="A899" s="180" t="s">
        <v>639</v>
      </c>
      <c r="B899" s="178" t="str">
        <f>INDEX(Orçamentária!A:B,MATCH(Composições!A899,Orçamentária!A:A,0),2)</f>
        <v>Tubo de ligação para bacia sanitária</v>
      </c>
      <c r="C899" s="30"/>
      <c r="D899" s="13" t="str">
        <f>TRIM(INDEX(Orçamentária!C:C,MATCH(Composições!A899,Orçamentária!A:A,0),1))</f>
        <v>un</v>
      </c>
      <c r="E899" s="14"/>
      <c r="F899" s="15" t="s">
        <v>640</v>
      </c>
      <c r="G899" s="31" t="s">
        <v>1079</v>
      </c>
      <c r="H899" s="16"/>
      <c r="I899" s="16" t="str">
        <f>IF(ISNUMBER(G899),E899*G899,"")</f>
        <v/>
      </c>
      <c r="J899" s="17"/>
      <c r="K899" s="18"/>
      <c r="L899" s="174">
        <v>0</v>
      </c>
    </row>
    <row r="900" spans="1:12" ht="15.75" hidden="1" thickBot="1" x14ac:dyDescent="0.3">
      <c r="A900" s="181"/>
      <c r="B900" s="179"/>
      <c r="C900" s="20"/>
      <c r="D900" s="20"/>
      <c r="E900" s="21"/>
      <c r="F900" s="22"/>
      <c r="G900" s="32" t="s">
        <v>1079</v>
      </c>
      <c r="H900" s="20"/>
      <c r="I900" s="19" t="str">
        <f>IF(ISNUMBER(G900),E900*G900,"")</f>
        <v/>
      </c>
      <c r="J900" s="24"/>
      <c r="K900" s="19"/>
      <c r="L900" s="174">
        <v>0</v>
      </c>
    </row>
    <row r="901" spans="1:12" ht="15.75" hidden="1" thickBot="1" x14ac:dyDescent="0.3">
      <c r="A901" s="181"/>
      <c r="B901" s="179"/>
      <c r="C901" s="25" t="s">
        <v>70</v>
      </c>
      <c r="D901" s="36" t="s">
        <v>21</v>
      </c>
      <c r="E901" s="26">
        <v>0.2</v>
      </c>
      <c r="F901" s="27" t="s">
        <v>641</v>
      </c>
      <c r="G901" s="19">
        <v>18.743500000000001</v>
      </c>
      <c r="H901" s="27" t="s">
        <v>71</v>
      </c>
      <c r="I901" s="23">
        <f>IF(ISNUMBER(G901),E901*G901,"")</f>
        <v>3.7487000000000004</v>
      </c>
      <c r="J901" s="28">
        <f>SUM(I901:I903)</f>
        <v>5.5442</v>
      </c>
      <c r="K901" s="29"/>
      <c r="L901" s="174">
        <v>0</v>
      </c>
    </row>
    <row r="902" spans="1:12" ht="15.75" hidden="1" thickBot="1" x14ac:dyDescent="0.3">
      <c r="A902" s="181"/>
      <c r="B902" s="179"/>
      <c r="C902" s="25" t="s">
        <v>642</v>
      </c>
      <c r="D902" s="36" t="s">
        <v>32</v>
      </c>
      <c r="E902" s="26">
        <v>1</v>
      </c>
      <c r="F902" s="27" t="s">
        <v>643</v>
      </c>
      <c r="G902" s="23">
        <v>1.7954999999999999</v>
      </c>
      <c r="H902" s="27" t="s">
        <v>644</v>
      </c>
      <c r="I902" s="46">
        <f>IF(ISNUMBER(G902),E902*G902,"")</f>
        <v>1.7954999999999999</v>
      </c>
      <c r="J902" s="24"/>
      <c r="K902" s="19"/>
      <c r="L902" s="174">
        <v>0</v>
      </c>
    </row>
    <row r="903" spans="1:12" ht="26.25" hidden="1" thickBot="1" x14ac:dyDescent="0.3">
      <c r="A903" s="181"/>
      <c r="B903" s="179"/>
      <c r="C903" s="25" t="s">
        <v>645</v>
      </c>
      <c r="D903" s="25" t="s">
        <v>32</v>
      </c>
      <c r="E903" s="26">
        <v>1</v>
      </c>
      <c r="F903" s="27" t="s">
        <v>641</v>
      </c>
      <c r="G903" s="23" t="s">
        <v>1079</v>
      </c>
      <c r="H903" s="27" t="s">
        <v>33</v>
      </c>
      <c r="I903" s="19" t="str">
        <f>IF(ISNUMBER(G903),E903*G903,"")</f>
        <v/>
      </c>
      <c r="J903" s="24"/>
      <c r="K903" s="19"/>
      <c r="L903" s="174">
        <v>0</v>
      </c>
    </row>
    <row r="904" spans="1:12" ht="15.75" hidden="1" thickBot="1" x14ac:dyDescent="0.3">
      <c r="A904" s="182"/>
      <c r="B904" s="183"/>
      <c r="C904" s="25"/>
      <c r="D904" s="25"/>
      <c r="E904" s="26"/>
      <c r="F904" s="27"/>
      <c r="G904" s="19" t="s">
        <v>1079</v>
      </c>
      <c r="H904" s="27"/>
      <c r="I904" s="19" t="str">
        <f>IF(ISNUMBER(G904),E904*G904,"")</f>
        <v/>
      </c>
      <c r="J904" s="24"/>
      <c r="K904" s="19"/>
      <c r="L904" s="174">
        <v>0</v>
      </c>
    </row>
    <row r="905" spans="1:12" ht="15.75" thickBot="1" x14ac:dyDescent="0.3">
      <c r="A905" s="288" t="s">
        <v>646</v>
      </c>
      <c r="B905" s="289" t="str">
        <f>INDEX(Orçamentária!A:B,MATCH(Composições!A905,Orçamentária!A:A,0),2)</f>
        <v>Tubo PVC esgoto ou aguas pluviais predial DN 100mm</v>
      </c>
      <c r="C905" s="274"/>
      <c r="D905" s="265" t="str">
        <f>TRIM(INDEX(Orçamentária!C:C,MATCH(Composições!A905,Orçamentária!A:A,0),1))</f>
        <v>m</v>
      </c>
      <c r="E905" s="290"/>
      <c r="F905" s="259" t="s">
        <v>647</v>
      </c>
      <c r="G905" s="260" t="s">
        <v>1079</v>
      </c>
      <c r="H905" s="261"/>
      <c r="I905" s="261" t="str">
        <f>IF(ISNUMBER(G905),E905*G905,"")</f>
        <v/>
      </c>
      <c r="J905" s="280"/>
      <c r="K905" s="18"/>
      <c r="L905" s="174">
        <v>24.73</v>
      </c>
    </row>
    <row r="906" spans="1:12" x14ac:dyDescent="0.25">
      <c r="A906" s="291"/>
      <c r="B906" s="292"/>
      <c r="C906" s="155"/>
      <c r="D906" s="155"/>
      <c r="E906" s="293"/>
      <c r="F906" s="294"/>
      <c r="G906" s="262" t="s">
        <v>1079</v>
      </c>
      <c r="H906" s="308"/>
      <c r="I906" s="257" t="str">
        <f>IF(ISNUMBER(G906),E906*G906,"")</f>
        <v/>
      </c>
      <c r="J906" s="281"/>
      <c r="K906" s="19"/>
      <c r="L906" s="174">
        <v>24.73</v>
      </c>
    </row>
    <row r="907" spans="1:12" x14ac:dyDescent="0.25">
      <c r="A907" s="291"/>
      <c r="B907" s="292"/>
      <c r="C907" s="105" t="s">
        <v>648</v>
      </c>
      <c r="D907" s="271" t="s">
        <v>32</v>
      </c>
      <c r="E907" s="250">
        <v>4.2900000000000001E-2</v>
      </c>
      <c r="F907" s="176" t="s">
        <v>647</v>
      </c>
      <c r="G907" s="258">
        <v>54.15</v>
      </c>
      <c r="H907" s="308" t="s">
        <v>649</v>
      </c>
      <c r="I907" s="258">
        <f>IF(ISNUMBER(G907),E907*G907,"")</f>
        <v>2.323035</v>
      </c>
      <c r="J907" s="295">
        <f>SUM(I907:I912)</f>
        <v>44.003230500000001</v>
      </c>
      <c r="K907" s="29"/>
      <c r="L907" s="174">
        <v>24.73</v>
      </c>
    </row>
    <row r="908" spans="1:12" ht="25.5" x14ac:dyDescent="0.25">
      <c r="A908" s="291"/>
      <c r="B908" s="292"/>
      <c r="C908" s="105" t="s">
        <v>650</v>
      </c>
      <c r="D908" s="271" t="s">
        <v>184</v>
      </c>
      <c r="E908" s="250">
        <v>1.04</v>
      </c>
      <c r="F908" s="176" t="s">
        <v>647</v>
      </c>
      <c r="G908" s="258">
        <v>22.343999999999998</v>
      </c>
      <c r="H908" s="308" t="s">
        <v>651</v>
      </c>
      <c r="I908" s="258">
        <f>IF(ISNUMBER(G908),E908*G908,"")</f>
        <v>23.237759999999998</v>
      </c>
      <c r="J908" s="282"/>
      <c r="K908" s="35"/>
      <c r="L908" s="174">
        <v>24.73</v>
      </c>
    </row>
    <row r="909" spans="1:12" x14ac:dyDescent="0.25">
      <c r="A909" s="291"/>
      <c r="B909" s="292"/>
      <c r="C909" s="105" t="s">
        <v>652</v>
      </c>
      <c r="D909" s="271" t="s">
        <v>32</v>
      </c>
      <c r="E909" s="250">
        <v>7.0099999999999996E-2</v>
      </c>
      <c r="F909" s="176" t="s">
        <v>647</v>
      </c>
      <c r="G909" s="258">
        <v>47.024999999999999</v>
      </c>
      <c r="H909" s="308" t="s">
        <v>653</v>
      </c>
      <c r="I909" s="258">
        <f>IF(ISNUMBER(G909),E909*G909,"")</f>
        <v>3.2964524999999996</v>
      </c>
      <c r="J909" s="282"/>
      <c r="K909" s="35"/>
      <c r="L909" s="174">
        <v>24.73</v>
      </c>
    </row>
    <row r="910" spans="1:12" x14ac:dyDescent="0.25">
      <c r="A910" s="291"/>
      <c r="B910" s="292"/>
      <c r="C910" s="105" t="s">
        <v>654</v>
      </c>
      <c r="D910" s="271" t="s">
        <v>32</v>
      </c>
      <c r="E910" s="250">
        <v>0.14849999999999999</v>
      </c>
      <c r="F910" s="176" t="s">
        <v>647</v>
      </c>
      <c r="G910" s="258">
        <v>1.5579999999999998</v>
      </c>
      <c r="H910" s="308" t="s">
        <v>655</v>
      </c>
      <c r="I910" s="258">
        <f>IF(ISNUMBER(G910),E910*G910,"")</f>
        <v>0.23136299999999996</v>
      </c>
      <c r="J910" s="282"/>
      <c r="K910" s="35"/>
      <c r="L910" s="174">
        <v>24.73</v>
      </c>
    </row>
    <row r="911" spans="1:12" ht="25.5" x14ac:dyDescent="0.25">
      <c r="A911" s="291"/>
      <c r="B911" s="292"/>
      <c r="C911" s="105" t="s">
        <v>224</v>
      </c>
      <c r="D911" s="271" t="s">
        <v>21</v>
      </c>
      <c r="E911" s="250">
        <v>0.44500000000000001</v>
      </c>
      <c r="F911" s="176" t="s">
        <v>647</v>
      </c>
      <c r="G911" s="257">
        <v>14.772500000000001</v>
      </c>
      <c r="H911" s="105" t="s">
        <v>226</v>
      </c>
      <c r="I911" s="258">
        <f>IF(ISNUMBER(G911),E911*G911,"")</f>
        <v>6.5737625000000008</v>
      </c>
      <c r="J911" s="282"/>
      <c r="K911" s="35"/>
      <c r="L911" s="174">
        <v>24.73</v>
      </c>
    </row>
    <row r="912" spans="1:12" x14ac:dyDescent="0.25">
      <c r="A912" s="291"/>
      <c r="B912" s="292"/>
      <c r="C912" s="105" t="s">
        <v>70</v>
      </c>
      <c r="D912" s="271" t="s">
        <v>21</v>
      </c>
      <c r="E912" s="250">
        <v>0.44500000000000001</v>
      </c>
      <c r="F912" s="176" t="s">
        <v>647</v>
      </c>
      <c r="G912" s="257">
        <v>18.743500000000001</v>
      </c>
      <c r="H912" s="105" t="s">
        <v>71</v>
      </c>
      <c r="I912" s="258">
        <f>IF(ISNUMBER(G912),E912*G912,"")</f>
        <v>8.3408575000000003</v>
      </c>
      <c r="J912" s="282"/>
      <c r="K912" s="35"/>
      <c r="L912" s="174">
        <v>24.73</v>
      </c>
    </row>
    <row r="913" spans="1:12" ht="15.75" thickBot="1" x14ac:dyDescent="0.3">
      <c r="A913" s="296"/>
      <c r="B913" s="297"/>
      <c r="C913" s="105"/>
      <c r="D913" s="105"/>
      <c r="E913" s="250"/>
      <c r="F913" s="176"/>
      <c r="G913" s="257" t="s">
        <v>1079</v>
      </c>
      <c r="H913" s="176"/>
      <c r="I913" s="257" t="str">
        <f>IF(ISNUMBER(G913),E913*G913,"")</f>
        <v/>
      </c>
      <c r="J913" s="281"/>
      <c r="K913" s="19"/>
      <c r="L913" s="174">
        <v>24.73</v>
      </c>
    </row>
    <row r="914" spans="1:12" ht="15.75" thickBot="1" x14ac:dyDescent="0.3">
      <c r="A914" s="288" t="s">
        <v>656</v>
      </c>
      <c r="B914" s="289" t="str">
        <f>INDEX(Orçamentária!A:B,MATCH(Composições!A914,Orçamentária!A:A,0),2)</f>
        <v>Tubo PVC esgoto ou aguas pluviais predial DN 40mm</v>
      </c>
      <c r="C914" s="274"/>
      <c r="D914" s="265" t="str">
        <f>TRIM(INDEX(Orçamentária!C:C,MATCH(Composições!A914,Orçamentária!A:A,0),1))</f>
        <v>m</v>
      </c>
      <c r="E914" s="290"/>
      <c r="F914" s="259" t="s">
        <v>657</v>
      </c>
      <c r="G914" s="260" t="s">
        <v>1079</v>
      </c>
      <c r="H914" s="261"/>
      <c r="I914" s="261" t="str">
        <f>IF(ISNUMBER(G914),E914*G914,"")</f>
        <v/>
      </c>
      <c r="J914" s="280"/>
      <c r="K914" s="18"/>
      <c r="L914" s="174">
        <v>4.5999999999999996</v>
      </c>
    </row>
    <row r="915" spans="1:12" x14ac:dyDescent="0.25">
      <c r="A915" s="291"/>
      <c r="B915" s="292"/>
      <c r="C915" s="155"/>
      <c r="D915" s="155"/>
      <c r="E915" s="293"/>
      <c r="F915" s="294"/>
      <c r="G915" s="262" t="s">
        <v>1079</v>
      </c>
      <c r="H915" s="155"/>
      <c r="I915" s="257" t="str">
        <f>IF(ISNUMBER(G915),E915*G915,"")</f>
        <v/>
      </c>
      <c r="J915" s="281"/>
      <c r="K915" s="19"/>
      <c r="L915" s="174">
        <v>4.5999999999999996</v>
      </c>
    </row>
    <row r="916" spans="1:12" ht="25.5" x14ac:dyDescent="0.25">
      <c r="A916" s="291"/>
      <c r="B916" s="292"/>
      <c r="C916" s="105" t="s">
        <v>658</v>
      </c>
      <c r="D916" s="271" t="s">
        <v>184</v>
      </c>
      <c r="E916" s="250">
        <v>1.04</v>
      </c>
      <c r="F916" s="176" t="s">
        <v>657</v>
      </c>
      <c r="G916" s="258">
        <v>7.7995000000000001</v>
      </c>
      <c r="H916" s="308" t="s">
        <v>659</v>
      </c>
      <c r="I916" s="258">
        <f>IF(ISNUMBER(G916),E916*G916,"")</f>
        <v>8.1114800000000002</v>
      </c>
      <c r="J916" s="295">
        <f>SUM(I916:I919)</f>
        <v>13.699266000000001</v>
      </c>
      <c r="K916" s="29"/>
      <c r="L916" s="174">
        <v>4.5999999999999996</v>
      </c>
    </row>
    <row r="917" spans="1:12" x14ac:dyDescent="0.25">
      <c r="A917" s="291"/>
      <c r="B917" s="292"/>
      <c r="C917" s="105" t="s">
        <v>654</v>
      </c>
      <c r="D917" s="271" t="s">
        <v>32</v>
      </c>
      <c r="E917" s="250">
        <v>3.6999999999999998E-2</v>
      </c>
      <c r="F917" s="176" t="s">
        <v>657</v>
      </c>
      <c r="G917" s="258">
        <v>1.5579999999999998</v>
      </c>
      <c r="H917" s="308" t="s">
        <v>655</v>
      </c>
      <c r="I917" s="258">
        <f>IF(ISNUMBER(G917),E917*G917,"")</f>
        <v>5.7645999999999989E-2</v>
      </c>
      <c r="J917" s="281"/>
      <c r="K917" s="19"/>
      <c r="L917" s="174">
        <v>4.5999999999999996</v>
      </c>
    </row>
    <row r="918" spans="1:12" ht="25.5" x14ac:dyDescent="0.25">
      <c r="A918" s="291"/>
      <c r="B918" s="292"/>
      <c r="C918" s="105" t="s">
        <v>224</v>
      </c>
      <c r="D918" s="271" t="s">
        <v>21</v>
      </c>
      <c r="E918" s="250">
        <v>0.16500000000000001</v>
      </c>
      <c r="F918" s="176" t="s">
        <v>657</v>
      </c>
      <c r="G918" s="257">
        <v>14.772500000000001</v>
      </c>
      <c r="H918" s="105" t="s">
        <v>226</v>
      </c>
      <c r="I918" s="258">
        <f>IF(ISNUMBER(G918),E918*G918,"")</f>
        <v>2.4374625000000001</v>
      </c>
      <c r="J918" s="281"/>
      <c r="K918" s="19"/>
      <c r="L918" s="174">
        <v>4.5999999999999996</v>
      </c>
    </row>
    <row r="919" spans="1:12" x14ac:dyDescent="0.25">
      <c r="A919" s="291"/>
      <c r="B919" s="292"/>
      <c r="C919" s="105" t="s">
        <v>70</v>
      </c>
      <c r="D919" s="271" t="s">
        <v>21</v>
      </c>
      <c r="E919" s="250">
        <v>0.16500000000000001</v>
      </c>
      <c r="F919" s="176" t="s">
        <v>657</v>
      </c>
      <c r="G919" s="257">
        <v>18.743500000000001</v>
      </c>
      <c r="H919" s="105" t="s">
        <v>71</v>
      </c>
      <c r="I919" s="258">
        <f>IF(ISNUMBER(G919),E919*G919,"")</f>
        <v>3.0926775000000002</v>
      </c>
      <c r="J919" s="281"/>
      <c r="K919" s="19"/>
      <c r="L919" s="174">
        <v>4.5999999999999996</v>
      </c>
    </row>
    <row r="920" spans="1:12" ht="15.75" thickBot="1" x14ac:dyDescent="0.3">
      <c r="A920" s="296"/>
      <c r="B920" s="297"/>
      <c r="C920" s="105"/>
      <c r="D920" s="105"/>
      <c r="E920" s="250"/>
      <c r="F920" s="176"/>
      <c r="G920" s="257" t="s">
        <v>1079</v>
      </c>
      <c r="H920" s="176"/>
      <c r="I920" s="257" t="str">
        <f>IF(ISNUMBER(G920),E920*G920,"")</f>
        <v/>
      </c>
      <c r="J920" s="281"/>
      <c r="K920" s="19"/>
      <c r="L920" s="174">
        <v>4.5999999999999996</v>
      </c>
    </row>
    <row r="921" spans="1:12" ht="15.75" thickBot="1" x14ac:dyDescent="0.3">
      <c r="A921" s="288" t="s">
        <v>660</v>
      </c>
      <c r="B921" s="289" t="str">
        <f>INDEX(Orçamentária!A:B,MATCH(Composições!A921,Orçamentária!A:A,0),2)</f>
        <v>Tubo PVC esgoto ou aguas pluviais predial DN 50mm</v>
      </c>
      <c r="C921" s="274"/>
      <c r="D921" s="265" t="str">
        <f>TRIM(INDEX(Orçamentária!C:C,MATCH(Composições!A921,Orçamentária!A:A,0),1))</f>
        <v>m</v>
      </c>
      <c r="E921" s="290"/>
      <c r="F921" s="259" t="s">
        <v>661</v>
      </c>
      <c r="G921" s="260" t="s">
        <v>1079</v>
      </c>
      <c r="H921" s="261"/>
      <c r="I921" s="261" t="str">
        <f>IF(ISNUMBER(G921),E921*G921,"")</f>
        <v/>
      </c>
      <c r="J921" s="280"/>
      <c r="K921" s="18"/>
      <c r="L921" s="174">
        <v>11.9</v>
      </c>
    </row>
    <row r="922" spans="1:12" x14ac:dyDescent="0.25">
      <c r="A922" s="291"/>
      <c r="B922" s="292"/>
      <c r="C922" s="155"/>
      <c r="D922" s="155"/>
      <c r="E922" s="293"/>
      <c r="F922" s="294"/>
      <c r="G922" s="262" t="s">
        <v>1079</v>
      </c>
      <c r="H922" s="155"/>
      <c r="I922" s="257" t="str">
        <f>IF(ISNUMBER(G922),E922*G922,"")</f>
        <v/>
      </c>
      <c r="J922" s="281"/>
      <c r="K922" s="19"/>
      <c r="L922" s="174">
        <v>11.9</v>
      </c>
    </row>
    <row r="923" spans="1:12" x14ac:dyDescent="0.25">
      <c r="A923" s="291"/>
      <c r="B923" s="292"/>
      <c r="C923" s="105" t="s">
        <v>648</v>
      </c>
      <c r="D923" s="271" t="s">
        <v>32</v>
      </c>
      <c r="E923" s="250">
        <v>1.2800000000000001E-2</v>
      </c>
      <c r="F923" s="176" t="s">
        <v>661</v>
      </c>
      <c r="G923" s="258">
        <v>54.15</v>
      </c>
      <c r="H923" s="308" t="s">
        <v>649</v>
      </c>
      <c r="I923" s="258">
        <f>IF(ISNUMBER(G923),E923*G923,"")</f>
        <v>0.69312000000000007</v>
      </c>
      <c r="J923" s="295">
        <f>SUM(I923:I928)</f>
        <v>18.8138285</v>
      </c>
      <c r="K923" s="29"/>
      <c r="L923" s="174">
        <v>11.9</v>
      </c>
    </row>
    <row r="924" spans="1:12" ht="25.5" x14ac:dyDescent="0.25">
      <c r="A924" s="291"/>
      <c r="B924" s="292"/>
      <c r="C924" s="105" t="s">
        <v>662</v>
      </c>
      <c r="D924" s="271" t="s">
        <v>184</v>
      </c>
      <c r="E924" s="250">
        <v>1.04</v>
      </c>
      <c r="F924" s="176" t="s">
        <v>661</v>
      </c>
      <c r="G924" s="258">
        <v>9.7279999999999998</v>
      </c>
      <c r="H924" s="308" t="s">
        <v>663</v>
      </c>
      <c r="I924" s="258">
        <f>IF(ISNUMBER(G924),E924*G924,"")</f>
        <v>10.11712</v>
      </c>
      <c r="J924" s="281"/>
      <c r="K924" s="19"/>
      <c r="L924" s="174">
        <v>11.9</v>
      </c>
    </row>
    <row r="925" spans="1:12" x14ac:dyDescent="0.25">
      <c r="A925" s="291"/>
      <c r="B925" s="292"/>
      <c r="C925" s="105" t="s">
        <v>652</v>
      </c>
      <c r="D925" s="271" t="s">
        <v>32</v>
      </c>
      <c r="E925" s="250">
        <v>1.9300000000000001E-2</v>
      </c>
      <c r="F925" s="176" t="s">
        <v>661</v>
      </c>
      <c r="G925" s="258">
        <v>47.024999999999999</v>
      </c>
      <c r="H925" s="308" t="s">
        <v>653</v>
      </c>
      <c r="I925" s="258">
        <f>IF(ISNUMBER(G925),E925*G925,"")</f>
        <v>0.90758250000000007</v>
      </c>
      <c r="J925" s="281"/>
      <c r="K925" s="19"/>
      <c r="L925" s="174">
        <v>11.9</v>
      </c>
    </row>
    <row r="926" spans="1:12" x14ac:dyDescent="0.25">
      <c r="A926" s="291"/>
      <c r="B926" s="292"/>
      <c r="C926" s="105" t="s">
        <v>654</v>
      </c>
      <c r="D926" s="271" t="s">
        <v>32</v>
      </c>
      <c r="E926" s="250">
        <v>3.6999999999999998E-2</v>
      </c>
      <c r="F926" s="176" t="s">
        <v>661</v>
      </c>
      <c r="G926" s="258">
        <v>1.5579999999999998</v>
      </c>
      <c r="H926" s="308" t="s">
        <v>655</v>
      </c>
      <c r="I926" s="258">
        <f>IF(ISNUMBER(G926),E926*G926,"")</f>
        <v>5.7645999999999989E-2</v>
      </c>
      <c r="J926" s="281"/>
      <c r="K926" s="19"/>
      <c r="L926" s="174">
        <v>11.9</v>
      </c>
    </row>
    <row r="927" spans="1:12" ht="25.5" x14ac:dyDescent="0.25">
      <c r="A927" s="291"/>
      <c r="B927" s="292"/>
      <c r="C927" s="105" t="s">
        <v>224</v>
      </c>
      <c r="D927" s="271" t="s">
        <v>21</v>
      </c>
      <c r="E927" s="250">
        <v>0.21</v>
      </c>
      <c r="F927" s="176" t="s">
        <v>661</v>
      </c>
      <c r="G927" s="257">
        <v>14.772500000000001</v>
      </c>
      <c r="H927" s="105" t="s">
        <v>226</v>
      </c>
      <c r="I927" s="258">
        <f>IF(ISNUMBER(G927),E927*G927,"")</f>
        <v>3.1022250000000002</v>
      </c>
      <c r="J927" s="281"/>
      <c r="K927" s="19"/>
      <c r="L927" s="174">
        <v>11.9</v>
      </c>
    </row>
    <row r="928" spans="1:12" x14ac:dyDescent="0.25">
      <c r="A928" s="291"/>
      <c r="B928" s="292"/>
      <c r="C928" s="105" t="s">
        <v>70</v>
      </c>
      <c r="D928" s="271" t="s">
        <v>21</v>
      </c>
      <c r="E928" s="250">
        <v>0.21</v>
      </c>
      <c r="F928" s="176" t="s">
        <v>661</v>
      </c>
      <c r="G928" s="257">
        <v>18.743500000000001</v>
      </c>
      <c r="H928" s="105" t="s">
        <v>71</v>
      </c>
      <c r="I928" s="258">
        <f>IF(ISNUMBER(G928),E928*G928,"")</f>
        <v>3.9361350000000002</v>
      </c>
      <c r="J928" s="281"/>
      <c r="K928" s="19"/>
      <c r="L928" s="174">
        <v>11.9</v>
      </c>
    </row>
    <row r="929" spans="1:12" ht="15.75" thickBot="1" x14ac:dyDescent="0.3">
      <c r="A929" s="296"/>
      <c r="B929" s="297"/>
      <c r="C929" s="105"/>
      <c r="D929" s="105"/>
      <c r="E929" s="250"/>
      <c r="F929" s="176"/>
      <c r="G929" s="257" t="s">
        <v>1079</v>
      </c>
      <c r="H929" s="176"/>
      <c r="I929" s="257" t="str">
        <f>IF(ISNUMBER(G929),E929*G929,"")</f>
        <v/>
      </c>
      <c r="J929" s="281"/>
      <c r="K929" s="19"/>
      <c r="L929" s="174">
        <v>11.9</v>
      </c>
    </row>
    <row r="930" spans="1:12" ht="15.75" thickBot="1" x14ac:dyDescent="0.3">
      <c r="A930" s="288" t="s">
        <v>664</v>
      </c>
      <c r="B930" s="289" t="str">
        <f>INDEX(Orçamentária!A:B,MATCH(Composições!A930,Orçamentária!A:A,0),2)</f>
        <v>Tubo PVC esgoto ou aguas pluviais predial DN 75mm</v>
      </c>
      <c r="C930" s="274"/>
      <c r="D930" s="265" t="str">
        <f>TRIM(INDEX(Orçamentária!C:C,MATCH(Composições!A930,Orçamentária!A:A,0),1))</f>
        <v>m</v>
      </c>
      <c r="E930" s="290"/>
      <c r="F930" s="259" t="s">
        <v>665</v>
      </c>
      <c r="G930" s="260" t="s">
        <v>1079</v>
      </c>
      <c r="H930" s="261"/>
      <c r="I930" s="261" t="str">
        <f>IF(ISNUMBER(G930),E930*G930,"")</f>
        <v/>
      </c>
      <c r="J930" s="280"/>
      <c r="K930" s="18"/>
      <c r="L930" s="174">
        <v>21.06</v>
      </c>
    </row>
    <row r="931" spans="1:12" x14ac:dyDescent="0.25">
      <c r="A931" s="291"/>
      <c r="B931" s="292"/>
      <c r="C931" s="155"/>
      <c r="D931" s="155"/>
      <c r="E931" s="293"/>
      <c r="F931" s="294"/>
      <c r="G931" s="262" t="s">
        <v>1079</v>
      </c>
      <c r="H931" s="155"/>
      <c r="I931" s="257" t="str">
        <f>IF(ISNUMBER(G931),E931*G931,"")</f>
        <v/>
      </c>
      <c r="J931" s="281"/>
      <c r="K931" s="19"/>
      <c r="L931" s="174">
        <v>21.06</v>
      </c>
    </row>
    <row r="932" spans="1:12" x14ac:dyDescent="0.25">
      <c r="A932" s="291"/>
      <c r="B932" s="292"/>
      <c r="C932" s="105" t="s">
        <v>648</v>
      </c>
      <c r="D932" s="271" t="s">
        <v>32</v>
      </c>
      <c r="E932" s="250">
        <v>2.93E-2</v>
      </c>
      <c r="F932" s="176" t="s">
        <v>665</v>
      </c>
      <c r="G932" s="258">
        <v>54.15</v>
      </c>
      <c r="H932" s="308" t="s">
        <v>649</v>
      </c>
      <c r="I932" s="258">
        <f>IF(ISNUMBER(G932),E932*G932,"")</f>
        <v>1.586595</v>
      </c>
      <c r="J932" s="295">
        <f>SUM(I932:I937)</f>
        <v>28.046935499999996</v>
      </c>
      <c r="K932" s="29"/>
      <c r="L932" s="174">
        <v>21.06</v>
      </c>
    </row>
    <row r="933" spans="1:12" ht="25.5" x14ac:dyDescent="0.25">
      <c r="A933" s="291"/>
      <c r="B933" s="292"/>
      <c r="C933" s="105" t="s">
        <v>666</v>
      </c>
      <c r="D933" s="271" t="s">
        <v>184</v>
      </c>
      <c r="E933" s="250">
        <v>1.04</v>
      </c>
      <c r="F933" s="176" t="s">
        <v>665</v>
      </c>
      <c r="G933" s="258">
        <v>12.748999999999999</v>
      </c>
      <c r="H933" s="308" t="s">
        <v>667</v>
      </c>
      <c r="I933" s="258">
        <f>IF(ISNUMBER(G933),E933*G933,"")</f>
        <v>13.258959999999998</v>
      </c>
      <c r="J933" s="282"/>
      <c r="K933" s="35"/>
      <c r="L933" s="174">
        <v>21.06</v>
      </c>
    </row>
    <row r="934" spans="1:12" x14ac:dyDescent="0.25">
      <c r="A934" s="291"/>
      <c r="B934" s="292"/>
      <c r="C934" s="105" t="s">
        <v>652</v>
      </c>
      <c r="D934" s="271" t="s">
        <v>32</v>
      </c>
      <c r="E934" s="250">
        <v>4.5499999999999999E-2</v>
      </c>
      <c r="F934" s="176" t="s">
        <v>665</v>
      </c>
      <c r="G934" s="258">
        <v>47.024999999999999</v>
      </c>
      <c r="H934" s="308" t="s">
        <v>653</v>
      </c>
      <c r="I934" s="258">
        <f>IF(ISNUMBER(G934),E934*G934,"")</f>
        <v>2.1396375000000001</v>
      </c>
      <c r="J934" s="282"/>
      <c r="K934" s="35"/>
      <c r="L934" s="174">
        <v>21.06</v>
      </c>
    </row>
    <row r="935" spans="1:12" x14ac:dyDescent="0.25">
      <c r="A935" s="291"/>
      <c r="B935" s="292"/>
      <c r="C935" s="105" t="s">
        <v>654</v>
      </c>
      <c r="D935" s="271" t="s">
        <v>32</v>
      </c>
      <c r="E935" s="250">
        <v>0.1085</v>
      </c>
      <c r="F935" s="176" t="s">
        <v>665</v>
      </c>
      <c r="G935" s="258">
        <v>1.5579999999999998</v>
      </c>
      <c r="H935" s="308" t="s">
        <v>655</v>
      </c>
      <c r="I935" s="258">
        <f>IF(ISNUMBER(G935),E935*G935,"")</f>
        <v>0.16904299999999997</v>
      </c>
      <c r="J935" s="282"/>
      <c r="K935" s="35"/>
      <c r="L935" s="174">
        <v>21.06</v>
      </c>
    </row>
    <row r="936" spans="1:12" ht="25.5" x14ac:dyDescent="0.25">
      <c r="A936" s="291"/>
      <c r="B936" s="292"/>
      <c r="C936" s="105" t="s">
        <v>224</v>
      </c>
      <c r="D936" s="271" t="s">
        <v>21</v>
      </c>
      <c r="E936" s="250">
        <v>0.32500000000000001</v>
      </c>
      <c r="F936" s="176" t="s">
        <v>665</v>
      </c>
      <c r="G936" s="257">
        <v>14.772500000000001</v>
      </c>
      <c r="H936" s="105" t="s">
        <v>226</v>
      </c>
      <c r="I936" s="258">
        <f>IF(ISNUMBER(G936),E936*G936,"")</f>
        <v>4.8010625000000005</v>
      </c>
      <c r="J936" s="282"/>
      <c r="K936" s="35"/>
      <c r="L936" s="174">
        <v>21.06</v>
      </c>
    </row>
    <row r="937" spans="1:12" x14ac:dyDescent="0.25">
      <c r="A937" s="291"/>
      <c r="B937" s="292"/>
      <c r="C937" s="105" t="s">
        <v>70</v>
      </c>
      <c r="D937" s="271" t="s">
        <v>21</v>
      </c>
      <c r="E937" s="250">
        <v>0.32500000000000001</v>
      </c>
      <c r="F937" s="176" t="s">
        <v>665</v>
      </c>
      <c r="G937" s="257">
        <v>18.743500000000001</v>
      </c>
      <c r="H937" s="105" t="s">
        <v>71</v>
      </c>
      <c r="I937" s="258">
        <f>IF(ISNUMBER(G937),E937*G937,"")</f>
        <v>6.0916375000000009</v>
      </c>
      <c r="J937" s="282"/>
      <c r="K937" s="35"/>
      <c r="L937" s="174">
        <v>21.06</v>
      </c>
    </row>
    <row r="938" spans="1:12" ht="15.75" thickBot="1" x14ac:dyDescent="0.3">
      <c r="A938" s="296"/>
      <c r="B938" s="297"/>
      <c r="C938" s="105"/>
      <c r="D938" s="105"/>
      <c r="E938" s="250"/>
      <c r="F938" s="176"/>
      <c r="G938" s="257" t="s">
        <v>1079</v>
      </c>
      <c r="H938" s="176"/>
      <c r="I938" s="257" t="str">
        <f>IF(ISNUMBER(G938),E938*G938,"")</f>
        <v/>
      </c>
      <c r="J938" s="281"/>
      <c r="K938" s="19"/>
      <c r="L938" s="174">
        <v>21.06</v>
      </c>
    </row>
    <row r="939" spans="1:12" ht="15.75" thickBot="1" x14ac:dyDescent="0.3">
      <c r="A939" s="288" t="s">
        <v>668</v>
      </c>
      <c r="B939" s="289" t="str">
        <f>INDEX(Orçamentária!A:B,MATCH(Composições!A939,Orçamentária!A:A,0),2)</f>
        <v>Tubo PVC soldável agua fria DN 25mm</v>
      </c>
      <c r="C939" s="274"/>
      <c r="D939" s="265" t="str">
        <f>TRIM(INDEX(Orçamentária!C:C,MATCH(Composições!A939,Orçamentária!A:A,0),1))</f>
        <v>m</v>
      </c>
      <c r="E939" s="290"/>
      <c r="F939" s="259" t="s">
        <v>669</v>
      </c>
      <c r="G939" s="260" t="s">
        <v>1079</v>
      </c>
      <c r="H939" s="261"/>
      <c r="I939" s="261" t="str">
        <f>IF(ISNUMBER(G939),E939*G939,"")</f>
        <v/>
      </c>
      <c r="J939" s="280"/>
      <c r="K939" s="18"/>
      <c r="L939" s="174">
        <v>40.659999999999997</v>
      </c>
    </row>
    <row r="940" spans="1:12" x14ac:dyDescent="0.25">
      <c r="A940" s="291"/>
      <c r="B940" s="292"/>
      <c r="C940" s="155"/>
      <c r="D940" s="155"/>
      <c r="E940" s="293"/>
      <c r="F940" s="294"/>
      <c r="G940" s="262" t="s">
        <v>1079</v>
      </c>
      <c r="H940" s="155"/>
      <c r="I940" s="257" t="str">
        <f>IF(ISNUMBER(G940),E940*G940,"")</f>
        <v/>
      </c>
      <c r="J940" s="281"/>
      <c r="K940" s="19"/>
      <c r="L940" s="174">
        <v>40.659999999999997</v>
      </c>
    </row>
    <row r="941" spans="1:12" x14ac:dyDescent="0.25">
      <c r="A941" s="291"/>
      <c r="B941" s="292"/>
      <c r="C941" s="105" t="s">
        <v>670</v>
      </c>
      <c r="D941" s="271" t="s">
        <v>184</v>
      </c>
      <c r="E941" s="250">
        <v>1.0609999999999999</v>
      </c>
      <c r="F941" s="176" t="s">
        <v>669</v>
      </c>
      <c r="G941" s="258">
        <v>2.6505000000000001</v>
      </c>
      <c r="H941" s="308" t="s">
        <v>671</v>
      </c>
      <c r="I941" s="258">
        <f>IF(ISNUMBER(G941),E941*G941,"")</f>
        <v>2.8121804999999997</v>
      </c>
      <c r="J941" s="295">
        <f>SUM(I941:I943)</f>
        <v>3.3484364999999996</v>
      </c>
      <c r="K941" s="29"/>
      <c r="L941" s="174">
        <v>40.659999999999997</v>
      </c>
    </row>
    <row r="942" spans="1:12" ht="25.5" x14ac:dyDescent="0.25">
      <c r="A942" s="291"/>
      <c r="B942" s="292"/>
      <c r="C942" s="105" t="s">
        <v>224</v>
      </c>
      <c r="D942" s="105" t="s">
        <v>21</v>
      </c>
      <c r="E942" s="250">
        <v>1.6E-2</v>
      </c>
      <c r="F942" s="176" t="s">
        <v>669</v>
      </c>
      <c r="G942" s="257">
        <v>14.772500000000001</v>
      </c>
      <c r="H942" s="105" t="s">
        <v>226</v>
      </c>
      <c r="I942" s="258">
        <f>IF(ISNUMBER(G942),E942*G942,"")</f>
        <v>0.23636000000000001</v>
      </c>
      <c r="J942" s="281"/>
      <c r="K942" s="19"/>
      <c r="L942" s="174">
        <v>40.659999999999997</v>
      </c>
    </row>
    <row r="943" spans="1:12" x14ac:dyDescent="0.25">
      <c r="A943" s="291"/>
      <c r="B943" s="292"/>
      <c r="C943" s="105" t="s">
        <v>70</v>
      </c>
      <c r="D943" s="271" t="s">
        <v>21</v>
      </c>
      <c r="E943" s="250">
        <v>1.6E-2</v>
      </c>
      <c r="F943" s="176" t="s">
        <v>669</v>
      </c>
      <c r="G943" s="257">
        <v>18.743500000000001</v>
      </c>
      <c r="H943" s="105" t="s">
        <v>71</v>
      </c>
      <c r="I943" s="258">
        <f>IF(ISNUMBER(G943),E943*G943,"")</f>
        <v>0.299896</v>
      </c>
      <c r="J943" s="281"/>
      <c r="K943" s="19"/>
      <c r="L943" s="174">
        <v>40.659999999999997</v>
      </c>
    </row>
    <row r="944" spans="1:12" ht="15.75" thickBot="1" x14ac:dyDescent="0.3">
      <c r="A944" s="296"/>
      <c r="B944" s="297"/>
      <c r="C944" s="105"/>
      <c r="D944" s="105"/>
      <c r="E944" s="250"/>
      <c r="F944" s="176"/>
      <c r="G944" s="257" t="s">
        <v>1079</v>
      </c>
      <c r="H944" s="176"/>
      <c r="I944" s="257" t="str">
        <f>IF(ISNUMBER(G944),E944*G944,"")</f>
        <v/>
      </c>
      <c r="J944" s="281"/>
      <c r="K944" s="19"/>
      <c r="L944" s="174">
        <v>40.659999999999997</v>
      </c>
    </row>
    <row r="945" spans="1:12" ht="15.75" thickBot="1" x14ac:dyDescent="0.3">
      <c r="A945" s="288" t="s">
        <v>672</v>
      </c>
      <c r="B945" s="289" t="str">
        <f>INDEX(Orçamentária!A:B,MATCH(Composições!A945,Orçamentária!A:A,0),2)</f>
        <v>Tubo PVC soldável agua fria DN 32mm</v>
      </c>
      <c r="C945" s="274"/>
      <c r="D945" s="265" t="str">
        <f>TRIM(INDEX(Orçamentária!C:C,MATCH(Composições!A945,Orçamentária!A:A,0),1))</f>
        <v>m</v>
      </c>
      <c r="E945" s="290"/>
      <c r="F945" s="259" t="s">
        <v>673</v>
      </c>
      <c r="G945" s="260" t="s">
        <v>1079</v>
      </c>
      <c r="H945" s="261"/>
      <c r="I945" s="261" t="str">
        <f>IF(ISNUMBER(G945),E945*G945,"")</f>
        <v/>
      </c>
      <c r="J945" s="280"/>
      <c r="K945" s="18"/>
      <c r="L945" s="174">
        <v>27</v>
      </c>
    </row>
    <row r="946" spans="1:12" x14ac:dyDescent="0.25">
      <c r="A946" s="291"/>
      <c r="B946" s="292"/>
      <c r="C946" s="155"/>
      <c r="D946" s="155"/>
      <c r="E946" s="293"/>
      <c r="F946" s="294"/>
      <c r="G946" s="262" t="s">
        <v>1079</v>
      </c>
      <c r="H946" s="155"/>
      <c r="I946" s="257" t="str">
        <f>IF(ISNUMBER(G946),E946*G946,"")</f>
        <v/>
      </c>
      <c r="J946" s="281"/>
      <c r="K946" s="19"/>
      <c r="L946" s="174">
        <v>27</v>
      </c>
    </row>
    <row r="947" spans="1:12" x14ac:dyDescent="0.25">
      <c r="A947" s="291"/>
      <c r="B947" s="292"/>
      <c r="C947" s="105" t="s">
        <v>674</v>
      </c>
      <c r="D947" s="271" t="s">
        <v>184</v>
      </c>
      <c r="E947" s="250">
        <v>1.0609999999999999</v>
      </c>
      <c r="F947" s="176" t="s">
        <v>673</v>
      </c>
      <c r="G947" s="258">
        <v>5.9469999999999992</v>
      </c>
      <c r="H947" s="308" t="s">
        <v>675</v>
      </c>
      <c r="I947" s="258">
        <f>IF(ISNUMBER(G947),E947*G947,"")</f>
        <v>6.309766999999999</v>
      </c>
      <c r="J947" s="295">
        <f>SUM(I947:I949)</f>
        <v>6.9800869999999993</v>
      </c>
      <c r="K947" s="29"/>
      <c r="L947" s="174">
        <v>27</v>
      </c>
    </row>
    <row r="948" spans="1:12" ht="25.5" x14ac:dyDescent="0.25">
      <c r="A948" s="291"/>
      <c r="B948" s="292"/>
      <c r="C948" s="105" t="s">
        <v>224</v>
      </c>
      <c r="D948" s="105" t="s">
        <v>21</v>
      </c>
      <c r="E948" s="250">
        <v>0.02</v>
      </c>
      <c r="F948" s="176" t="s">
        <v>673</v>
      </c>
      <c r="G948" s="257">
        <v>14.772500000000001</v>
      </c>
      <c r="H948" s="105" t="s">
        <v>226</v>
      </c>
      <c r="I948" s="258">
        <f>IF(ISNUMBER(G948),E948*G948,"")</f>
        <v>0.29545000000000005</v>
      </c>
      <c r="J948" s="281"/>
      <c r="K948" s="19"/>
      <c r="L948" s="174">
        <v>27</v>
      </c>
    </row>
    <row r="949" spans="1:12" x14ac:dyDescent="0.25">
      <c r="A949" s="291"/>
      <c r="B949" s="292"/>
      <c r="C949" s="105" t="s">
        <v>70</v>
      </c>
      <c r="D949" s="271" t="s">
        <v>21</v>
      </c>
      <c r="E949" s="250">
        <v>0.02</v>
      </c>
      <c r="F949" s="176" t="s">
        <v>673</v>
      </c>
      <c r="G949" s="257">
        <v>18.743500000000001</v>
      </c>
      <c r="H949" s="105" t="s">
        <v>71</v>
      </c>
      <c r="I949" s="258">
        <f>IF(ISNUMBER(G949),E949*G949,"")</f>
        <v>0.37487000000000004</v>
      </c>
      <c r="J949" s="281"/>
      <c r="K949" s="19"/>
      <c r="L949" s="174">
        <v>27</v>
      </c>
    </row>
    <row r="950" spans="1:12" ht="15.75" thickBot="1" x14ac:dyDescent="0.3">
      <c r="A950" s="296"/>
      <c r="B950" s="297"/>
      <c r="C950" s="105"/>
      <c r="D950" s="105"/>
      <c r="E950" s="250"/>
      <c r="F950" s="176"/>
      <c r="G950" s="257" t="s">
        <v>1079</v>
      </c>
      <c r="H950" s="176"/>
      <c r="I950" s="257" t="str">
        <f>IF(ISNUMBER(G950),E950*G950,"")</f>
        <v/>
      </c>
      <c r="J950" s="281"/>
      <c r="K950" s="19"/>
      <c r="L950" s="174">
        <v>27</v>
      </c>
    </row>
    <row r="951" spans="1:12" ht="15.75" hidden="1" thickBot="1" x14ac:dyDescent="0.3">
      <c r="A951" s="180" t="s">
        <v>676</v>
      </c>
      <c r="B951" s="178" t="str">
        <f>INDEX(Orçamentária!A:B,MATCH(Composições!A951,Orçamentária!A:A,0),2)</f>
        <v>Tubo PVC soldável agua fria DN 40mm</v>
      </c>
      <c r="C951" s="30"/>
      <c r="D951" s="13" t="str">
        <f>TRIM(INDEX(Orçamentária!C:C,MATCH(Composições!A951,Orçamentária!A:A,0),1))</f>
        <v>m</v>
      </c>
      <c r="E951" s="14"/>
      <c r="F951" s="15" t="s">
        <v>677</v>
      </c>
      <c r="G951" s="31" t="s">
        <v>1079</v>
      </c>
      <c r="H951" s="16"/>
      <c r="I951" s="16" t="str">
        <f>IF(ISNUMBER(G951),E951*G951,"")</f>
        <v/>
      </c>
      <c r="J951" s="17"/>
      <c r="K951" s="18"/>
      <c r="L951" s="174">
        <v>0</v>
      </c>
    </row>
    <row r="952" spans="1:12" ht="15.75" hidden="1" thickBot="1" x14ac:dyDescent="0.3">
      <c r="A952" s="181"/>
      <c r="B952" s="179"/>
      <c r="C952" s="20"/>
      <c r="D952" s="20"/>
      <c r="E952" s="21"/>
      <c r="F952" s="22"/>
      <c r="G952" s="32" t="s">
        <v>1079</v>
      </c>
      <c r="H952" s="20"/>
      <c r="I952" s="19" t="str">
        <f>IF(ISNUMBER(G952),E952*G952,"")</f>
        <v/>
      </c>
      <c r="J952" s="24"/>
      <c r="K952" s="19"/>
      <c r="L952" s="174">
        <v>0</v>
      </c>
    </row>
    <row r="953" spans="1:12" ht="15.75" hidden="1" thickBot="1" x14ac:dyDescent="0.3">
      <c r="A953" s="181"/>
      <c r="B953" s="179"/>
      <c r="C953" s="25" t="s">
        <v>678</v>
      </c>
      <c r="D953" s="36" t="s">
        <v>184</v>
      </c>
      <c r="E953" s="26">
        <v>1.0609999999999999</v>
      </c>
      <c r="F953" s="27" t="s">
        <v>677</v>
      </c>
      <c r="G953" s="23">
        <v>8.6639999999999997</v>
      </c>
      <c r="H953" s="55" t="s">
        <v>679</v>
      </c>
      <c r="I953" s="23">
        <f>IF(ISNUMBER(G953),E953*G953,"")</f>
        <v>9.1925039999999996</v>
      </c>
      <c r="J953" s="28">
        <f>SUM(I953:I956)</f>
        <v>10.009352</v>
      </c>
      <c r="K953" s="29"/>
      <c r="L953" s="174">
        <v>0</v>
      </c>
    </row>
    <row r="954" spans="1:12" ht="15.75" hidden="1" thickBot="1" x14ac:dyDescent="0.3">
      <c r="A954" s="181"/>
      <c r="B954" s="179"/>
      <c r="C954" s="25" t="s">
        <v>654</v>
      </c>
      <c r="D954" s="36" t="s">
        <v>32</v>
      </c>
      <c r="E954" s="26">
        <v>8.0000000000000002E-3</v>
      </c>
      <c r="F954" s="27" t="s">
        <v>677</v>
      </c>
      <c r="G954" s="23">
        <v>1.5579999999999998</v>
      </c>
      <c r="H954" s="55" t="s">
        <v>655</v>
      </c>
      <c r="I954" s="23">
        <f>IF(ISNUMBER(G954),E954*G954,"")</f>
        <v>1.2463999999999999E-2</v>
      </c>
      <c r="J954" s="24"/>
      <c r="K954" s="19"/>
      <c r="L954" s="174">
        <v>0</v>
      </c>
    </row>
    <row r="955" spans="1:12" ht="26.25" hidden="1" thickBot="1" x14ac:dyDescent="0.3">
      <c r="A955" s="181"/>
      <c r="B955" s="179"/>
      <c r="C955" s="25" t="s">
        <v>224</v>
      </c>
      <c r="D955" s="25" t="s">
        <v>21</v>
      </c>
      <c r="E955" s="26">
        <v>2.4E-2</v>
      </c>
      <c r="F955" s="27" t="s">
        <v>677</v>
      </c>
      <c r="G955" s="19">
        <v>14.772500000000001</v>
      </c>
      <c r="H955" s="25" t="s">
        <v>226</v>
      </c>
      <c r="I955" s="23">
        <f>IF(ISNUMBER(G955),E955*G955,"")</f>
        <v>0.35454000000000002</v>
      </c>
      <c r="J955" s="24"/>
      <c r="K955" s="19"/>
      <c r="L955" s="174">
        <v>0</v>
      </c>
    </row>
    <row r="956" spans="1:12" ht="15.75" hidden="1" thickBot="1" x14ac:dyDescent="0.3">
      <c r="A956" s="181"/>
      <c r="B956" s="179"/>
      <c r="C956" s="25" t="s">
        <v>70</v>
      </c>
      <c r="D956" s="36" t="s">
        <v>21</v>
      </c>
      <c r="E956" s="26">
        <v>2.4E-2</v>
      </c>
      <c r="F956" s="27" t="s">
        <v>677</v>
      </c>
      <c r="G956" s="19">
        <v>18.743500000000001</v>
      </c>
      <c r="H956" s="25" t="s">
        <v>71</v>
      </c>
      <c r="I956" s="23">
        <f>IF(ISNUMBER(G956),E956*G956,"")</f>
        <v>0.44984400000000002</v>
      </c>
      <c r="J956" s="24"/>
      <c r="K956" s="19"/>
      <c r="L956" s="174">
        <v>0</v>
      </c>
    </row>
    <row r="957" spans="1:12" ht="15.75" hidden="1" thickBot="1" x14ac:dyDescent="0.3">
      <c r="A957" s="182"/>
      <c r="B957" s="183"/>
      <c r="C957" s="25"/>
      <c r="D957" s="25"/>
      <c r="E957" s="26"/>
      <c r="F957" s="27"/>
      <c r="G957" s="19" t="s">
        <v>1079</v>
      </c>
      <c r="H957" s="27"/>
      <c r="I957" s="19" t="str">
        <f>IF(ISNUMBER(G957),E957*G957,"")</f>
        <v/>
      </c>
      <c r="J957" s="24"/>
      <c r="K957" s="19"/>
      <c r="L957" s="174">
        <v>0</v>
      </c>
    </row>
    <row r="958" spans="1:12" ht="15.75" thickBot="1" x14ac:dyDescent="0.3">
      <c r="A958" s="288" t="s">
        <v>680</v>
      </c>
      <c r="B958" s="289" t="str">
        <f>INDEX(Orçamentária!A:B,MATCH(Composições!A958,Orçamentária!A:A,0),2)</f>
        <v>Tubo PVC soldável agua fria DN 50mm</v>
      </c>
      <c r="C958" s="274"/>
      <c r="D958" s="265" t="str">
        <f>TRIM(INDEX(Orçamentária!C:C,MATCH(Composições!A958,Orçamentária!A:A,0),1))</f>
        <v>m</v>
      </c>
      <c r="E958" s="290"/>
      <c r="F958" s="259" t="s">
        <v>681</v>
      </c>
      <c r="G958" s="260" t="s">
        <v>1079</v>
      </c>
      <c r="H958" s="261"/>
      <c r="I958" s="261" t="str">
        <f>IF(ISNUMBER(G958),E958*G958,"")</f>
        <v/>
      </c>
      <c r="J958" s="280"/>
      <c r="K958" s="18"/>
      <c r="L958" s="174">
        <v>22.55</v>
      </c>
    </row>
    <row r="959" spans="1:12" x14ac:dyDescent="0.25">
      <c r="A959" s="291"/>
      <c r="B959" s="292"/>
      <c r="C959" s="155"/>
      <c r="D959" s="155"/>
      <c r="E959" s="293"/>
      <c r="F959" s="294"/>
      <c r="G959" s="262" t="s">
        <v>1079</v>
      </c>
      <c r="H959" s="155"/>
      <c r="I959" s="257" t="str">
        <f>IF(ISNUMBER(G959),E959*G959,"")</f>
        <v/>
      </c>
      <c r="J959" s="281"/>
      <c r="K959" s="19"/>
      <c r="L959" s="174">
        <v>22.55</v>
      </c>
    </row>
    <row r="960" spans="1:12" x14ac:dyDescent="0.25">
      <c r="A960" s="291"/>
      <c r="B960" s="292"/>
      <c r="C960" s="105" t="s">
        <v>682</v>
      </c>
      <c r="D960" s="271" t="s">
        <v>184</v>
      </c>
      <c r="E960" s="250">
        <v>1.0609999999999999</v>
      </c>
      <c r="F960" s="176" t="s">
        <v>681</v>
      </c>
      <c r="G960" s="258">
        <v>9.9274999999999984</v>
      </c>
      <c r="H960" s="308" t="s">
        <v>683</v>
      </c>
      <c r="I960" s="258">
        <f>IF(ISNUMBER(G960),E960*G960,"")</f>
        <v>10.533077499999997</v>
      </c>
      <c r="J960" s="295">
        <f>SUM(I960:I963)</f>
        <v>11.520621499999997</v>
      </c>
      <c r="K960" s="29"/>
      <c r="L960" s="174">
        <v>22.55</v>
      </c>
    </row>
    <row r="961" spans="1:12" x14ac:dyDescent="0.25">
      <c r="A961" s="291"/>
      <c r="B961" s="292"/>
      <c r="C961" s="105" t="s">
        <v>654</v>
      </c>
      <c r="D961" s="271" t="s">
        <v>32</v>
      </c>
      <c r="E961" s="250">
        <v>0.01</v>
      </c>
      <c r="F961" s="176" t="s">
        <v>681</v>
      </c>
      <c r="G961" s="258">
        <v>1.5579999999999998</v>
      </c>
      <c r="H961" s="308" t="s">
        <v>655</v>
      </c>
      <c r="I961" s="258">
        <f>IF(ISNUMBER(G961),E961*G961,"")</f>
        <v>1.5579999999999998E-2</v>
      </c>
      <c r="J961" s="281"/>
      <c r="K961" s="19"/>
      <c r="L961" s="174">
        <v>22.55</v>
      </c>
    </row>
    <row r="962" spans="1:12" ht="25.5" x14ac:dyDescent="0.25">
      <c r="A962" s="291"/>
      <c r="B962" s="292"/>
      <c r="C962" s="105" t="s">
        <v>224</v>
      </c>
      <c r="D962" s="105" t="s">
        <v>21</v>
      </c>
      <c r="E962" s="250">
        <v>2.9000000000000001E-2</v>
      </c>
      <c r="F962" s="176" t="s">
        <v>681</v>
      </c>
      <c r="G962" s="257">
        <v>14.772500000000001</v>
      </c>
      <c r="H962" s="105" t="s">
        <v>226</v>
      </c>
      <c r="I962" s="258">
        <f>IF(ISNUMBER(G962),E962*G962,"")</f>
        <v>0.42840250000000002</v>
      </c>
      <c r="J962" s="281"/>
      <c r="K962" s="19"/>
      <c r="L962" s="174">
        <v>22.55</v>
      </c>
    </row>
    <row r="963" spans="1:12" x14ac:dyDescent="0.25">
      <c r="A963" s="291"/>
      <c r="B963" s="292"/>
      <c r="C963" s="105" t="s">
        <v>70</v>
      </c>
      <c r="D963" s="271" t="s">
        <v>21</v>
      </c>
      <c r="E963" s="250">
        <v>2.9000000000000001E-2</v>
      </c>
      <c r="F963" s="176" t="s">
        <v>681</v>
      </c>
      <c r="G963" s="257">
        <v>18.743500000000001</v>
      </c>
      <c r="H963" s="105" t="s">
        <v>71</v>
      </c>
      <c r="I963" s="258">
        <f>IF(ISNUMBER(G963),E963*G963,"")</f>
        <v>0.54356150000000003</v>
      </c>
      <c r="J963" s="281"/>
      <c r="K963" s="19"/>
      <c r="L963" s="174">
        <v>22.55</v>
      </c>
    </row>
    <row r="964" spans="1:12" ht="15.75" thickBot="1" x14ac:dyDescent="0.3">
      <c r="A964" s="296"/>
      <c r="B964" s="297"/>
      <c r="C964" s="105"/>
      <c r="D964" s="105"/>
      <c r="E964" s="250"/>
      <c r="F964" s="176"/>
      <c r="G964" s="257" t="s">
        <v>1079</v>
      </c>
      <c r="H964" s="176"/>
      <c r="I964" s="257" t="str">
        <f>IF(ISNUMBER(G964),E964*G964,"")</f>
        <v/>
      </c>
      <c r="J964" s="281"/>
      <c r="K964" s="19"/>
      <c r="L964" s="174">
        <v>22.55</v>
      </c>
    </row>
    <row r="965" spans="1:12" ht="15.75" thickBot="1" x14ac:dyDescent="0.3">
      <c r="A965" s="288" t="s">
        <v>684</v>
      </c>
      <c r="B965" s="289" t="str">
        <f>INDEX(Orçamentária!A:B,MATCH(Composições!A965,Orçamentária!A:A,0),2)</f>
        <v>Base registro gaveta 3/4"</v>
      </c>
      <c r="C965" s="274"/>
      <c r="D965" s="265" t="str">
        <f>TRIM(INDEX(Orçamentária!C:C,MATCH(Composições!A965,Orçamentária!A:A,0),1))</f>
        <v>un</v>
      </c>
      <c r="E965" s="290"/>
      <c r="F965" s="259" t="s">
        <v>685</v>
      </c>
      <c r="G965" s="260" t="s">
        <v>1079</v>
      </c>
      <c r="H965" s="261"/>
      <c r="I965" s="261" t="str">
        <f>IF(ISNUMBER(G965),E965*G965,"")</f>
        <v/>
      </c>
      <c r="J965" s="280"/>
      <c r="K965" s="18"/>
      <c r="L965" s="174">
        <v>4</v>
      </c>
    </row>
    <row r="966" spans="1:12" x14ac:dyDescent="0.25">
      <c r="A966" s="291"/>
      <c r="B966" s="292"/>
      <c r="C966" s="155"/>
      <c r="D966" s="155"/>
      <c r="E966" s="293"/>
      <c r="F966" s="294"/>
      <c r="G966" s="262" t="s">
        <v>1079</v>
      </c>
      <c r="H966" s="155"/>
      <c r="I966" s="257" t="str">
        <f>IF(ISNUMBER(G966),E966*G966,"")</f>
        <v/>
      </c>
      <c r="J966" s="281"/>
      <c r="K966" s="19"/>
      <c r="L966" s="174">
        <v>4</v>
      </c>
    </row>
    <row r="967" spans="1:12" ht="25.5" x14ac:dyDescent="0.25">
      <c r="A967" s="291"/>
      <c r="B967" s="292"/>
      <c r="C967" s="105" t="s">
        <v>686</v>
      </c>
      <c r="D967" s="271" t="s">
        <v>305</v>
      </c>
      <c r="E967" s="250">
        <v>1</v>
      </c>
      <c r="F967" s="176" t="s">
        <v>687</v>
      </c>
      <c r="G967" s="258">
        <v>31.23</v>
      </c>
      <c r="H967" s="176" t="s">
        <v>688</v>
      </c>
      <c r="I967" s="258">
        <f>IF(ISNUMBER(G967),E967*G967,"")</f>
        <v>31.23</v>
      </c>
      <c r="J967" s="295">
        <f>SUM(I967:I970)</f>
        <v>40.389538999999999</v>
      </c>
      <c r="K967" s="29"/>
      <c r="L967" s="174">
        <v>4</v>
      </c>
    </row>
    <row r="968" spans="1:12" x14ac:dyDescent="0.25">
      <c r="A968" s="291"/>
      <c r="B968" s="292"/>
      <c r="C968" s="105" t="s">
        <v>689</v>
      </c>
      <c r="D968" s="271" t="s">
        <v>588</v>
      </c>
      <c r="E968" s="250">
        <v>1.2999999999999999E-2</v>
      </c>
      <c r="F968" s="176" t="s">
        <v>687</v>
      </c>
      <c r="G968" s="258">
        <v>10.677999999999999</v>
      </c>
      <c r="H968" s="176" t="s">
        <v>690</v>
      </c>
      <c r="I968" s="258">
        <f>IF(ISNUMBER(G968),E968*G968,"")</f>
        <v>0.13881399999999999</v>
      </c>
      <c r="J968" s="281"/>
      <c r="K968" s="19"/>
      <c r="L968" s="174">
        <v>4</v>
      </c>
    </row>
    <row r="969" spans="1:12" x14ac:dyDescent="0.25">
      <c r="A969" s="291"/>
      <c r="B969" s="292"/>
      <c r="C969" s="105" t="s">
        <v>70</v>
      </c>
      <c r="D969" s="271" t="s">
        <v>21</v>
      </c>
      <c r="E969" s="250">
        <v>0.3</v>
      </c>
      <c r="F969" s="176" t="s">
        <v>687</v>
      </c>
      <c r="G969" s="257">
        <v>18.743500000000001</v>
      </c>
      <c r="H969" s="176" t="s">
        <v>71</v>
      </c>
      <c r="I969" s="258">
        <f>IF(ISNUMBER(G969),E969*G969,"")</f>
        <v>5.6230500000000001</v>
      </c>
      <c r="J969" s="281"/>
      <c r="K969" s="19"/>
      <c r="L969" s="174">
        <v>4</v>
      </c>
    </row>
    <row r="970" spans="1:12" ht="25.5" x14ac:dyDescent="0.25">
      <c r="A970" s="291"/>
      <c r="B970" s="292"/>
      <c r="C970" s="105" t="s">
        <v>224</v>
      </c>
      <c r="D970" s="271" t="s">
        <v>21</v>
      </c>
      <c r="E970" s="250">
        <v>0.23</v>
      </c>
      <c r="F970" s="176" t="s">
        <v>687</v>
      </c>
      <c r="G970" s="257">
        <v>14.772500000000001</v>
      </c>
      <c r="H970" s="176" t="s">
        <v>226</v>
      </c>
      <c r="I970" s="258">
        <f>IF(ISNUMBER(G970),E970*G970,"")</f>
        <v>3.3976750000000004</v>
      </c>
      <c r="J970" s="281"/>
      <c r="K970" s="19"/>
      <c r="L970" s="174">
        <v>4</v>
      </c>
    </row>
    <row r="971" spans="1:12" ht="15.75" thickBot="1" x14ac:dyDescent="0.3">
      <c r="A971" s="296"/>
      <c r="B971" s="297"/>
      <c r="C971" s="105"/>
      <c r="D971" s="105"/>
      <c r="E971" s="250"/>
      <c r="F971" s="176"/>
      <c r="G971" s="257" t="s">
        <v>1079</v>
      </c>
      <c r="H971" s="176"/>
      <c r="I971" s="257" t="str">
        <f>IF(ISNUMBER(G971),E971*G971,"")</f>
        <v/>
      </c>
      <c r="J971" s="281"/>
      <c r="K971" s="19"/>
      <c r="L971" s="174">
        <v>4</v>
      </c>
    </row>
    <row r="972" spans="1:12" ht="15.75" thickBot="1" x14ac:dyDescent="0.3">
      <c r="A972" s="288" t="s">
        <v>691</v>
      </c>
      <c r="B972" s="289" t="str">
        <f>INDEX(Orçamentária!A:B,MATCH(Composições!A972,Orçamentária!A:A,0),2)</f>
        <v>Caixa sifonada de PVC DN 150mm</v>
      </c>
      <c r="C972" s="274"/>
      <c r="D972" s="265" t="str">
        <f>TRIM(INDEX(Orçamentária!C:C,MATCH(Composições!A972,Orçamentária!A:A,0),1))</f>
        <v>un</v>
      </c>
      <c r="E972" s="290"/>
      <c r="F972" s="259" t="s">
        <v>692</v>
      </c>
      <c r="G972" s="260" t="s">
        <v>1079</v>
      </c>
      <c r="H972" s="261"/>
      <c r="I972" s="261" t="str">
        <f>IF(ISNUMBER(G972),E972*G972,"")</f>
        <v/>
      </c>
      <c r="J972" s="280"/>
      <c r="K972" s="18"/>
      <c r="L972" s="174">
        <v>7</v>
      </c>
    </row>
    <row r="973" spans="1:12" x14ac:dyDescent="0.25">
      <c r="A973" s="291"/>
      <c r="B973" s="292"/>
      <c r="C973" s="155"/>
      <c r="D973" s="155"/>
      <c r="E973" s="293"/>
      <c r="F973" s="294"/>
      <c r="G973" s="262" t="s">
        <v>1079</v>
      </c>
      <c r="H973" s="155"/>
      <c r="I973" s="257" t="str">
        <f>IF(ISNUMBER(G973),E973*G973,"")</f>
        <v/>
      </c>
      <c r="J973" s="281"/>
      <c r="K973" s="19"/>
      <c r="L973" s="174">
        <v>7</v>
      </c>
    </row>
    <row r="974" spans="1:12" ht="25.5" x14ac:dyDescent="0.25">
      <c r="A974" s="291"/>
      <c r="B974" s="292"/>
      <c r="C974" s="105" t="s">
        <v>224</v>
      </c>
      <c r="D974" s="271" t="s">
        <v>21</v>
      </c>
      <c r="E974" s="250">
        <v>0.38</v>
      </c>
      <c r="F974" s="176" t="s">
        <v>692</v>
      </c>
      <c r="G974" s="257">
        <v>14.772500000000001</v>
      </c>
      <c r="H974" s="176" t="s">
        <v>226</v>
      </c>
      <c r="I974" s="258">
        <f>IF(ISNUMBER(G974),E974*G974,"")</f>
        <v>5.61355</v>
      </c>
      <c r="J974" s="295">
        <f>SUM(I974:I981)</f>
        <v>52.709163499999995</v>
      </c>
      <c r="K974" s="29"/>
      <c r="L974" s="174">
        <v>7</v>
      </c>
    </row>
    <row r="975" spans="1:12" x14ac:dyDescent="0.25">
      <c r="A975" s="291"/>
      <c r="B975" s="292"/>
      <c r="C975" s="105" t="s">
        <v>70</v>
      </c>
      <c r="D975" s="271" t="s">
        <v>21</v>
      </c>
      <c r="E975" s="250">
        <v>0.38</v>
      </c>
      <c r="F975" s="176" t="s">
        <v>692</v>
      </c>
      <c r="G975" s="257">
        <v>18.743500000000001</v>
      </c>
      <c r="H975" s="176" t="s">
        <v>71</v>
      </c>
      <c r="I975" s="258">
        <f>IF(ISNUMBER(G975),E975*G975,"")</f>
        <v>7.1225300000000002</v>
      </c>
      <c r="J975" s="281"/>
      <c r="K975" s="19"/>
      <c r="L975" s="174">
        <v>7</v>
      </c>
    </row>
    <row r="976" spans="1:12" x14ac:dyDescent="0.25">
      <c r="A976" s="291"/>
      <c r="B976" s="292"/>
      <c r="C976" s="105" t="s">
        <v>648</v>
      </c>
      <c r="D976" s="271" t="s">
        <v>32</v>
      </c>
      <c r="E976" s="250">
        <v>1.4800000000000001E-2</v>
      </c>
      <c r="F976" s="176" t="s">
        <v>692</v>
      </c>
      <c r="G976" s="258">
        <v>54.15</v>
      </c>
      <c r="H976" s="176" t="s">
        <v>649</v>
      </c>
      <c r="I976" s="258">
        <f>IF(ISNUMBER(G976),E976*G976,"")</f>
        <v>0.80142000000000002</v>
      </c>
      <c r="J976" s="281"/>
      <c r="K976" s="19"/>
      <c r="L976" s="174">
        <v>7</v>
      </c>
    </row>
    <row r="977" spans="1:12" x14ac:dyDescent="0.25">
      <c r="A977" s="291"/>
      <c r="B977" s="292"/>
      <c r="C977" s="105" t="s">
        <v>693</v>
      </c>
      <c r="D977" s="271" t="s">
        <v>32</v>
      </c>
      <c r="E977" s="250">
        <v>1</v>
      </c>
      <c r="F977" s="176" t="s">
        <v>692</v>
      </c>
      <c r="G977" s="258">
        <v>1.5959999999999999</v>
      </c>
      <c r="H977" s="176" t="s">
        <v>694</v>
      </c>
      <c r="I977" s="258">
        <f>IF(ISNUMBER(G977),E977*G977,"")</f>
        <v>1.5959999999999999</v>
      </c>
      <c r="J977" s="281"/>
      <c r="K977" s="19"/>
      <c r="L977" s="174">
        <v>7</v>
      </c>
    </row>
    <row r="978" spans="1:12" x14ac:dyDescent="0.25">
      <c r="A978" s="291"/>
      <c r="B978" s="292"/>
      <c r="C978" s="105" t="s">
        <v>654</v>
      </c>
      <c r="D978" s="271" t="s">
        <v>32</v>
      </c>
      <c r="E978" s="250">
        <v>5.7000000000000002E-2</v>
      </c>
      <c r="F978" s="176" t="s">
        <v>692</v>
      </c>
      <c r="G978" s="258">
        <v>1.5579999999999998</v>
      </c>
      <c r="H978" s="176" t="s">
        <v>655</v>
      </c>
      <c r="I978" s="258">
        <f>IF(ISNUMBER(G978),E978*G978,"")</f>
        <v>8.8805999999999996E-2</v>
      </c>
      <c r="J978" s="281"/>
      <c r="K978" s="19"/>
      <c r="L978" s="174">
        <v>7</v>
      </c>
    </row>
    <row r="979" spans="1:12" x14ac:dyDescent="0.25">
      <c r="A979" s="291"/>
      <c r="B979" s="292"/>
      <c r="C979" s="105" t="s">
        <v>695</v>
      </c>
      <c r="D979" s="271" t="s">
        <v>32</v>
      </c>
      <c r="E979" s="250">
        <v>1</v>
      </c>
      <c r="F979" s="176" t="s">
        <v>692</v>
      </c>
      <c r="G979" s="258">
        <v>35.833999999999996</v>
      </c>
      <c r="H979" s="176" t="s">
        <v>696</v>
      </c>
      <c r="I979" s="258">
        <f>IF(ISNUMBER(G979),E979*G979,"")</f>
        <v>35.833999999999996</v>
      </c>
      <c r="J979" s="281"/>
      <c r="K979" s="19"/>
      <c r="L979" s="174">
        <v>7</v>
      </c>
    </row>
    <row r="980" spans="1:12" ht="25.5" x14ac:dyDescent="0.25">
      <c r="A980" s="291"/>
      <c r="B980" s="292"/>
      <c r="C980" s="105" t="s">
        <v>697</v>
      </c>
      <c r="D980" s="271" t="s">
        <v>32</v>
      </c>
      <c r="E980" s="250">
        <v>0.03</v>
      </c>
      <c r="F980" s="176" t="s">
        <v>692</v>
      </c>
      <c r="G980" s="258">
        <v>19.826499999999999</v>
      </c>
      <c r="H980" s="176" t="s">
        <v>698</v>
      </c>
      <c r="I980" s="258">
        <f>IF(ISNUMBER(G980),E980*G980,"")</f>
        <v>0.59479499999999996</v>
      </c>
      <c r="J980" s="281"/>
      <c r="K980" s="19"/>
      <c r="L980" s="174">
        <v>7</v>
      </c>
    </row>
    <row r="981" spans="1:12" x14ac:dyDescent="0.25">
      <c r="A981" s="291"/>
      <c r="B981" s="292"/>
      <c r="C981" s="105" t="s">
        <v>652</v>
      </c>
      <c r="D981" s="271" t="s">
        <v>32</v>
      </c>
      <c r="E981" s="250">
        <v>2.2499999999999999E-2</v>
      </c>
      <c r="F981" s="176" t="s">
        <v>692</v>
      </c>
      <c r="G981" s="258">
        <v>47.024999999999999</v>
      </c>
      <c r="H981" s="176" t="s">
        <v>653</v>
      </c>
      <c r="I981" s="258">
        <f>IF(ISNUMBER(G981),E981*G981,"")</f>
        <v>1.0580624999999999</v>
      </c>
      <c r="J981" s="281"/>
      <c r="K981" s="19"/>
      <c r="L981" s="174">
        <v>7</v>
      </c>
    </row>
    <row r="982" spans="1:12" ht="15.75" thickBot="1" x14ac:dyDescent="0.3">
      <c r="A982" s="296"/>
      <c r="B982" s="297"/>
      <c r="C982" s="105"/>
      <c r="D982" s="105"/>
      <c r="E982" s="250"/>
      <c r="F982" s="176"/>
      <c r="G982" s="257" t="s">
        <v>1079</v>
      </c>
      <c r="H982" s="176"/>
      <c r="I982" s="257" t="str">
        <f>IF(ISNUMBER(G982),E982*G982,"")</f>
        <v/>
      </c>
      <c r="J982" s="281"/>
      <c r="K982" s="19"/>
      <c r="L982" s="174">
        <v>7</v>
      </c>
    </row>
    <row r="983" spans="1:12" ht="15.75" thickBot="1" x14ac:dyDescent="0.3">
      <c r="A983" s="288" t="s">
        <v>699</v>
      </c>
      <c r="B983" s="289" t="str">
        <f>INDEX(Orçamentária!A:B,MATCH(Composições!A983,Orçamentária!A:A,0),2)</f>
        <v>Caixa sifonada de PVC DN 250mm</v>
      </c>
      <c r="C983" s="274"/>
      <c r="D983" s="265" t="str">
        <f>TRIM(INDEX(Orçamentária!C:C,MATCH(Composições!A983,Orçamentária!A:A,0),1))</f>
        <v>un</v>
      </c>
      <c r="E983" s="290"/>
      <c r="F983" s="259" t="s">
        <v>700</v>
      </c>
      <c r="G983" s="260" t="s">
        <v>1079</v>
      </c>
      <c r="H983" s="261"/>
      <c r="I983" s="261" t="str">
        <f>IF(ISNUMBER(G983),E983*G983,"")</f>
        <v/>
      </c>
      <c r="J983" s="280"/>
      <c r="K983" s="18"/>
      <c r="L983" s="174">
        <v>2</v>
      </c>
    </row>
    <row r="984" spans="1:12" x14ac:dyDescent="0.25">
      <c r="A984" s="291"/>
      <c r="B984" s="292"/>
      <c r="C984" s="155"/>
      <c r="D984" s="155"/>
      <c r="E984" s="293"/>
      <c r="F984" s="294"/>
      <c r="G984" s="262" t="s">
        <v>1079</v>
      </c>
      <c r="H984" s="155"/>
      <c r="I984" s="257" t="str">
        <f>IF(ISNUMBER(G984),E984*G984,"")</f>
        <v/>
      </c>
      <c r="J984" s="281"/>
      <c r="K984" s="19"/>
      <c r="L984" s="174">
        <v>2</v>
      </c>
    </row>
    <row r="985" spans="1:12" ht="25.5" x14ac:dyDescent="0.25">
      <c r="A985" s="291"/>
      <c r="B985" s="292"/>
      <c r="C985" s="105" t="s">
        <v>224</v>
      </c>
      <c r="D985" s="271" t="s">
        <v>21</v>
      </c>
      <c r="E985" s="250">
        <v>0.38</v>
      </c>
      <c r="F985" s="176" t="s">
        <v>692</v>
      </c>
      <c r="G985" s="257">
        <v>14.772500000000001</v>
      </c>
      <c r="H985" s="176" t="s">
        <v>226</v>
      </c>
      <c r="I985" s="257">
        <f>IF(ISNUMBER(G985),E985*G985,"")</f>
        <v>5.61355</v>
      </c>
      <c r="J985" s="295">
        <f>SUM(I985:I992)</f>
        <v>90.984663500000011</v>
      </c>
      <c r="K985" s="29"/>
      <c r="L985" s="174">
        <v>2</v>
      </c>
    </row>
    <row r="986" spans="1:12" x14ac:dyDescent="0.25">
      <c r="A986" s="291"/>
      <c r="B986" s="292"/>
      <c r="C986" s="105" t="s">
        <v>70</v>
      </c>
      <c r="D986" s="271" t="s">
        <v>21</v>
      </c>
      <c r="E986" s="250">
        <v>0.38</v>
      </c>
      <c r="F986" s="176" t="s">
        <v>692</v>
      </c>
      <c r="G986" s="257">
        <v>18.743500000000001</v>
      </c>
      <c r="H986" s="176" t="s">
        <v>71</v>
      </c>
      <c r="I986" s="257">
        <f>IF(ISNUMBER(G986),E986*G986,"")</f>
        <v>7.1225300000000002</v>
      </c>
      <c r="J986" s="281"/>
      <c r="K986" s="19"/>
      <c r="L986" s="174">
        <v>2</v>
      </c>
    </row>
    <row r="987" spans="1:12" x14ac:dyDescent="0.25">
      <c r="A987" s="291"/>
      <c r="B987" s="292"/>
      <c r="C987" s="105" t="s">
        <v>648</v>
      </c>
      <c r="D987" s="271" t="s">
        <v>32</v>
      </c>
      <c r="E987" s="250">
        <v>1.4800000000000001E-2</v>
      </c>
      <c r="F987" s="176" t="s">
        <v>692</v>
      </c>
      <c r="G987" s="258">
        <v>54.15</v>
      </c>
      <c r="H987" s="176" t="s">
        <v>649</v>
      </c>
      <c r="I987" s="257">
        <f>IF(ISNUMBER(G987),E987*G987,"")</f>
        <v>0.80142000000000002</v>
      </c>
      <c r="J987" s="281"/>
      <c r="K987" s="19"/>
      <c r="L987" s="174">
        <v>2</v>
      </c>
    </row>
    <row r="988" spans="1:12" x14ac:dyDescent="0.25">
      <c r="A988" s="291"/>
      <c r="B988" s="292"/>
      <c r="C988" s="105" t="s">
        <v>693</v>
      </c>
      <c r="D988" s="271" t="s">
        <v>32</v>
      </c>
      <c r="E988" s="250">
        <v>1</v>
      </c>
      <c r="F988" s="176" t="s">
        <v>692</v>
      </c>
      <c r="G988" s="258">
        <v>1.5959999999999999</v>
      </c>
      <c r="H988" s="176" t="s">
        <v>694</v>
      </c>
      <c r="I988" s="257">
        <f>IF(ISNUMBER(G988),E988*G988,"")</f>
        <v>1.5959999999999999</v>
      </c>
      <c r="J988" s="281"/>
      <c r="K988" s="19"/>
      <c r="L988" s="174">
        <v>2</v>
      </c>
    </row>
    <row r="989" spans="1:12" x14ac:dyDescent="0.25">
      <c r="A989" s="291"/>
      <c r="B989" s="292"/>
      <c r="C989" s="105" t="s">
        <v>654</v>
      </c>
      <c r="D989" s="271" t="s">
        <v>32</v>
      </c>
      <c r="E989" s="250">
        <v>5.7000000000000002E-2</v>
      </c>
      <c r="F989" s="176" t="s">
        <v>692</v>
      </c>
      <c r="G989" s="258">
        <v>1.5579999999999998</v>
      </c>
      <c r="H989" s="176" t="s">
        <v>655</v>
      </c>
      <c r="I989" s="257">
        <f>IF(ISNUMBER(G989),E989*G989,"")</f>
        <v>8.8805999999999996E-2</v>
      </c>
      <c r="J989" s="281"/>
      <c r="K989" s="19"/>
      <c r="L989" s="174">
        <v>2</v>
      </c>
    </row>
    <row r="990" spans="1:12" ht="25.5" x14ac:dyDescent="0.25">
      <c r="A990" s="291"/>
      <c r="B990" s="292"/>
      <c r="C990" s="105" t="s">
        <v>701</v>
      </c>
      <c r="D990" s="271" t="s">
        <v>32</v>
      </c>
      <c r="E990" s="250">
        <v>1</v>
      </c>
      <c r="F990" s="176" t="s">
        <v>692</v>
      </c>
      <c r="G990" s="258">
        <v>74.109499999999997</v>
      </c>
      <c r="H990" s="176" t="s">
        <v>702</v>
      </c>
      <c r="I990" s="257">
        <f>IF(ISNUMBER(G990),E990*G990,"")</f>
        <v>74.109499999999997</v>
      </c>
      <c r="J990" s="281"/>
      <c r="K990" s="19"/>
      <c r="L990" s="174">
        <v>2</v>
      </c>
    </row>
    <row r="991" spans="1:12" ht="25.5" x14ac:dyDescent="0.25">
      <c r="A991" s="291"/>
      <c r="B991" s="292"/>
      <c r="C991" s="105" t="s">
        <v>697</v>
      </c>
      <c r="D991" s="271" t="s">
        <v>32</v>
      </c>
      <c r="E991" s="250">
        <v>0.03</v>
      </c>
      <c r="F991" s="176" t="s">
        <v>692</v>
      </c>
      <c r="G991" s="258">
        <v>19.826499999999999</v>
      </c>
      <c r="H991" s="176" t="s">
        <v>698</v>
      </c>
      <c r="I991" s="257">
        <f>IF(ISNUMBER(G991),E991*G991,"")</f>
        <v>0.59479499999999996</v>
      </c>
      <c r="J991" s="281"/>
      <c r="K991" s="19"/>
      <c r="L991" s="174">
        <v>2</v>
      </c>
    </row>
    <row r="992" spans="1:12" x14ac:dyDescent="0.25">
      <c r="A992" s="291"/>
      <c r="B992" s="292"/>
      <c r="C992" s="105" t="s">
        <v>652</v>
      </c>
      <c r="D992" s="271" t="s">
        <v>32</v>
      </c>
      <c r="E992" s="250">
        <v>2.2499999999999999E-2</v>
      </c>
      <c r="F992" s="176" t="s">
        <v>692</v>
      </c>
      <c r="G992" s="258">
        <v>47.024999999999999</v>
      </c>
      <c r="H992" s="176" t="s">
        <v>653</v>
      </c>
      <c r="I992" s="257">
        <f>IF(ISNUMBER(G992),E992*G992,"")</f>
        <v>1.0580624999999999</v>
      </c>
      <c r="J992" s="281"/>
      <c r="K992" s="19"/>
      <c r="L992" s="174">
        <v>2</v>
      </c>
    </row>
    <row r="993" spans="1:12" ht="15.75" thickBot="1" x14ac:dyDescent="0.3">
      <c r="A993" s="296"/>
      <c r="B993" s="297"/>
      <c r="C993" s="105"/>
      <c r="D993" s="105"/>
      <c r="E993" s="250"/>
      <c r="F993" s="176"/>
      <c r="G993" s="257" t="s">
        <v>1079</v>
      </c>
      <c r="H993" s="176"/>
      <c r="I993" s="257" t="str">
        <f>IF(ISNUMBER(G993),E993*G993,"")</f>
        <v/>
      </c>
      <c r="J993" s="281"/>
      <c r="K993" s="19"/>
      <c r="L993" s="174">
        <v>2</v>
      </c>
    </row>
    <row r="994" spans="1:12" ht="15.75" hidden="1" thickBot="1" x14ac:dyDescent="0.3">
      <c r="A994" s="180" t="s">
        <v>703</v>
      </c>
      <c r="B994" s="178" t="str">
        <f>INDEX(Orçamentária!A:B,MATCH(Composições!A994,Orçamentária!A:A,0),2)</f>
        <v>Grelha quadrada para ralo 10x10cm</v>
      </c>
      <c r="C994" s="30"/>
      <c r="D994" s="13" t="str">
        <f>TRIM(INDEX(Orçamentária!C:C,MATCH(Composições!A994,Orçamentária!A:A,0),1))</f>
        <v>un</v>
      </c>
      <c r="E994" s="14"/>
      <c r="F994" s="15" t="s">
        <v>704</v>
      </c>
      <c r="G994" s="31" t="s">
        <v>1079</v>
      </c>
      <c r="H994" s="16"/>
      <c r="I994" s="16" t="str">
        <f>IF(ISNUMBER(G994),E994*G994,"")</f>
        <v/>
      </c>
      <c r="J994" s="17"/>
      <c r="K994" s="18"/>
      <c r="L994" s="174">
        <v>0</v>
      </c>
    </row>
    <row r="995" spans="1:12" ht="15.75" hidden="1" thickBot="1" x14ac:dyDescent="0.3">
      <c r="A995" s="181"/>
      <c r="B995" s="179"/>
      <c r="C995" s="20"/>
      <c r="D995" s="20"/>
      <c r="E995" s="21"/>
      <c r="F995" s="22"/>
      <c r="G995" s="32" t="s">
        <v>1079</v>
      </c>
      <c r="H995" s="20"/>
      <c r="I995" s="19" t="str">
        <f>IF(ISNUMBER(G995),E995*G995,"")</f>
        <v/>
      </c>
      <c r="J995" s="24"/>
      <c r="K995" s="19"/>
      <c r="L995" s="174">
        <v>0</v>
      </c>
    </row>
    <row r="996" spans="1:12" ht="26.25" hidden="1" thickBot="1" x14ac:dyDescent="0.3">
      <c r="A996" s="181"/>
      <c r="B996" s="179"/>
      <c r="C996" s="25" t="s">
        <v>705</v>
      </c>
      <c r="D996" s="36" t="s">
        <v>305</v>
      </c>
      <c r="E996" s="26">
        <v>1</v>
      </c>
      <c r="F996" s="27" t="s">
        <v>706</v>
      </c>
      <c r="G996" s="23" t="s">
        <v>1079</v>
      </c>
      <c r="H996" s="27" t="s">
        <v>33</v>
      </c>
      <c r="I996" s="23" t="str">
        <f>IF(ISNUMBER(G996),E996*G996,"")</f>
        <v/>
      </c>
      <c r="J996" s="28">
        <f>SUM(I996:I997)</f>
        <v>2.1488999999999998</v>
      </c>
      <c r="K996" s="29"/>
      <c r="L996" s="174">
        <v>0</v>
      </c>
    </row>
    <row r="997" spans="1:12" ht="15.75" hidden="1" thickBot="1" x14ac:dyDescent="0.3">
      <c r="A997" s="181"/>
      <c r="B997" s="179"/>
      <c r="C997" s="25" t="s">
        <v>38</v>
      </c>
      <c r="D997" s="36" t="s">
        <v>21</v>
      </c>
      <c r="E997" s="26">
        <v>0.15</v>
      </c>
      <c r="F997" s="27" t="s">
        <v>706</v>
      </c>
      <c r="G997" s="19">
        <v>14.325999999999999</v>
      </c>
      <c r="H997" s="27" t="s">
        <v>39</v>
      </c>
      <c r="I997" s="23">
        <f>IF(ISNUMBER(G997),E997*G997,"")</f>
        <v>2.1488999999999998</v>
      </c>
      <c r="J997" s="24"/>
      <c r="K997" s="19"/>
      <c r="L997" s="174">
        <v>0</v>
      </c>
    </row>
    <row r="998" spans="1:12" ht="15.75" hidden="1" thickBot="1" x14ac:dyDescent="0.3">
      <c r="A998" s="182"/>
      <c r="B998" s="183"/>
      <c r="C998" s="25"/>
      <c r="D998" s="25"/>
      <c r="E998" s="26"/>
      <c r="F998" s="27"/>
      <c r="G998" s="19" t="s">
        <v>1079</v>
      </c>
      <c r="H998" s="27"/>
      <c r="I998" s="19" t="str">
        <f>IF(ISNUMBER(G998),E998*G998,"")</f>
        <v/>
      </c>
      <c r="J998" s="24"/>
      <c r="K998" s="19"/>
      <c r="L998" s="174">
        <v>0</v>
      </c>
    </row>
    <row r="999" spans="1:12" ht="15.75" thickBot="1" x14ac:dyDescent="0.3">
      <c r="A999" s="288" t="s">
        <v>707</v>
      </c>
      <c r="B999" s="289" t="str">
        <f>INDEX(Orçamentária!A:B,MATCH(Composições!A999,Orçamentária!A:A,0),2)</f>
        <v>Grelha quadrada para ralo 15x15cm</v>
      </c>
      <c r="C999" s="274"/>
      <c r="D999" s="265" t="str">
        <f>TRIM(INDEX(Orçamentária!C:C,MATCH(Composições!A999,Orçamentária!A:A,0),1))</f>
        <v>un</v>
      </c>
      <c r="E999" s="290"/>
      <c r="F999" s="259" t="s">
        <v>704</v>
      </c>
      <c r="G999" s="260" t="s">
        <v>1079</v>
      </c>
      <c r="H999" s="261"/>
      <c r="I999" s="261" t="str">
        <f>IF(ISNUMBER(G999),E999*G999,"")</f>
        <v/>
      </c>
      <c r="J999" s="280"/>
      <c r="K999" s="18"/>
      <c r="L999" s="174">
        <v>7</v>
      </c>
    </row>
    <row r="1000" spans="1:12" x14ac:dyDescent="0.25">
      <c r="A1000" s="291"/>
      <c r="B1000" s="292"/>
      <c r="C1000" s="155"/>
      <c r="D1000" s="155"/>
      <c r="E1000" s="293"/>
      <c r="F1000" s="294"/>
      <c r="G1000" s="262" t="s">
        <v>1079</v>
      </c>
      <c r="H1000" s="155"/>
      <c r="I1000" s="257" t="str">
        <f>IF(ISNUMBER(G1000),E1000*G1000,"")</f>
        <v/>
      </c>
      <c r="J1000" s="281"/>
      <c r="K1000" s="19"/>
      <c r="L1000" s="174">
        <v>7</v>
      </c>
    </row>
    <row r="1001" spans="1:12" ht="25.5" x14ac:dyDescent="0.25">
      <c r="A1001" s="291"/>
      <c r="B1001" s="292"/>
      <c r="C1001" s="105" t="s">
        <v>708</v>
      </c>
      <c r="D1001" s="271" t="s">
        <v>305</v>
      </c>
      <c r="E1001" s="250">
        <v>1</v>
      </c>
      <c r="F1001" s="176" t="s">
        <v>706</v>
      </c>
      <c r="G1001" s="258">
        <v>46.93</v>
      </c>
      <c r="H1001" s="176" t="s">
        <v>33</v>
      </c>
      <c r="I1001" s="258">
        <f>IF(ISNUMBER(G1001),E1001*G1001,"")</f>
        <v>46.93</v>
      </c>
      <c r="J1001" s="295">
        <f>SUM(I1001:I1002)</f>
        <v>49.078899999999997</v>
      </c>
      <c r="K1001" s="29"/>
      <c r="L1001" s="174">
        <v>7</v>
      </c>
    </row>
    <row r="1002" spans="1:12" x14ac:dyDescent="0.25">
      <c r="A1002" s="291"/>
      <c r="B1002" s="292"/>
      <c r="C1002" s="105" t="s">
        <v>38</v>
      </c>
      <c r="D1002" s="271" t="s">
        <v>21</v>
      </c>
      <c r="E1002" s="250">
        <v>0.15</v>
      </c>
      <c r="F1002" s="176" t="s">
        <v>706</v>
      </c>
      <c r="G1002" s="257">
        <v>14.325999999999999</v>
      </c>
      <c r="H1002" s="176" t="s">
        <v>39</v>
      </c>
      <c r="I1002" s="258">
        <f>IF(ISNUMBER(G1002),E1002*G1002,"")</f>
        <v>2.1488999999999998</v>
      </c>
      <c r="J1002" s="281"/>
      <c r="K1002" s="19"/>
      <c r="L1002" s="174">
        <v>7</v>
      </c>
    </row>
    <row r="1003" spans="1:12" ht="15.75" thickBot="1" x14ac:dyDescent="0.3">
      <c r="A1003" s="296"/>
      <c r="B1003" s="297"/>
      <c r="C1003" s="105"/>
      <c r="D1003" s="105"/>
      <c r="E1003" s="250"/>
      <c r="F1003" s="176"/>
      <c r="G1003" s="257" t="s">
        <v>1079</v>
      </c>
      <c r="H1003" s="176"/>
      <c r="I1003" s="257" t="str">
        <f>IF(ISNUMBER(G1003),E1003*G1003,"")</f>
        <v/>
      </c>
      <c r="J1003" s="281"/>
      <c r="K1003" s="19"/>
      <c r="L1003" s="174">
        <v>7</v>
      </c>
    </row>
    <row r="1004" spans="1:12" ht="15.75" hidden="1" thickBot="1" x14ac:dyDescent="0.3">
      <c r="A1004" s="180" t="s">
        <v>709</v>
      </c>
      <c r="B1004" s="178" t="str">
        <f>INDEX(Orçamentária!A:B,MATCH(Composições!A1004,Orçamentária!A:A,0),2)</f>
        <v>Ralo seco PVC DN 100x40mm</v>
      </c>
      <c r="C1004" s="30"/>
      <c r="D1004" s="13" t="str">
        <f>TRIM(INDEX(Orçamentária!C:C,MATCH(Composições!A1004,Orçamentária!A:A,0),1))</f>
        <v>un</v>
      </c>
      <c r="E1004" s="14"/>
      <c r="F1004" s="15" t="s">
        <v>710</v>
      </c>
      <c r="G1004" s="31" t="s">
        <v>1079</v>
      </c>
      <c r="H1004" s="16"/>
      <c r="I1004" s="16" t="str">
        <f>IF(ISNUMBER(G1004),E1004*G1004,"")</f>
        <v/>
      </c>
      <c r="J1004" s="17"/>
      <c r="K1004" s="18"/>
      <c r="L1004" s="174">
        <v>0</v>
      </c>
    </row>
    <row r="1005" spans="1:12" ht="15.75" hidden="1" thickBot="1" x14ac:dyDescent="0.3">
      <c r="A1005" s="181"/>
      <c r="B1005" s="179"/>
      <c r="C1005" s="20"/>
      <c r="D1005" s="20"/>
      <c r="E1005" s="21"/>
      <c r="F1005" s="22"/>
      <c r="G1005" s="32" t="s">
        <v>1079</v>
      </c>
      <c r="H1005" s="20"/>
      <c r="I1005" s="19" t="str">
        <f>IF(ISNUMBER(G1005),E1005*G1005,"")</f>
        <v/>
      </c>
      <c r="J1005" s="24"/>
      <c r="K1005" s="19"/>
      <c r="L1005" s="174">
        <v>0</v>
      </c>
    </row>
    <row r="1006" spans="1:12" ht="26.25" hidden="1" thickBot="1" x14ac:dyDescent="0.3">
      <c r="A1006" s="181"/>
      <c r="B1006" s="179"/>
      <c r="C1006" s="25" t="s">
        <v>224</v>
      </c>
      <c r="D1006" s="36" t="s">
        <v>21</v>
      </c>
      <c r="E1006" s="26">
        <v>7.0000000000000007E-2</v>
      </c>
      <c r="F1006" s="27" t="s">
        <v>710</v>
      </c>
      <c r="G1006" s="19">
        <v>14.772500000000001</v>
      </c>
      <c r="H1006" s="27" t="s">
        <v>226</v>
      </c>
      <c r="I1006" s="23">
        <f>IF(ISNUMBER(G1006),E1006*G1006,"")</f>
        <v>1.0340750000000001</v>
      </c>
      <c r="J1006" s="28">
        <f>SUM(I1006:I1011)</f>
        <v>8.6811284999999998</v>
      </c>
      <c r="K1006" s="29"/>
      <c r="L1006" s="174">
        <v>0</v>
      </c>
    </row>
    <row r="1007" spans="1:12" ht="15.75" hidden="1" thickBot="1" x14ac:dyDescent="0.3">
      <c r="A1007" s="181"/>
      <c r="B1007" s="179"/>
      <c r="C1007" s="25" t="s">
        <v>70</v>
      </c>
      <c r="D1007" s="36" t="s">
        <v>21</v>
      </c>
      <c r="E1007" s="26">
        <v>7.0000000000000007E-2</v>
      </c>
      <c r="F1007" s="27" t="s">
        <v>710</v>
      </c>
      <c r="G1007" s="19">
        <v>18.743500000000001</v>
      </c>
      <c r="H1007" s="27" t="s">
        <v>71</v>
      </c>
      <c r="I1007" s="23">
        <f>IF(ISNUMBER(G1007),E1007*G1007,"")</f>
        <v>1.3120450000000001</v>
      </c>
      <c r="J1007" s="24"/>
      <c r="K1007" s="19"/>
      <c r="L1007" s="174">
        <v>0</v>
      </c>
    </row>
    <row r="1008" spans="1:12" ht="15.75" hidden="1" thickBot="1" x14ac:dyDescent="0.3">
      <c r="A1008" s="181"/>
      <c r="B1008" s="179"/>
      <c r="C1008" s="25" t="s">
        <v>648</v>
      </c>
      <c r="D1008" s="36" t="s">
        <v>32</v>
      </c>
      <c r="E1008" s="26">
        <v>4.8999999999999998E-3</v>
      </c>
      <c r="F1008" s="27" t="s">
        <v>710</v>
      </c>
      <c r="G1008" s="23">
        <v>54.15</v>
      </c>
      <c r="H1008" s="27" t="s">
        <v>649</v>
      </c>
      <c r="I1008" s="23">
        <f>IF(ISNUMBER(G1008),E1008*G1008,"")</f>
        <v>0.26533499999999999</v>
      </c>
      <c r="J1008" s="24"/>
      <c r="K1008" s="19"/>
      <c r="L1008" s="174">
        <v>0</v>
      </c>
    </row>
    <row r="1009" spans="1:12" ht="15.75" hidden="1" thickBot="1" x14ac:dyDescent="0.3">
      <c r="A1009" s="181"/>
      <c r="B1009" s="179"/>
      <c r="C1009" s="25" t="s">
        <v>654</v>
      </c>
      <c r="D1009" s="36" t="s">
        <v>32</v>
      </c>
      <c r="E1009" s="26">
        <v>1.7000000000000001E-2</v>
      </c>
      <c r="F1009" s="27" t="s">
        <v>710</v>
      </c>
      <c r="G1009" s="23">
        <v>1.5579999999999998</v>
      </c>
      <c r="H1009" s="27" t="s">
        <v>655</v>
      </c>
      <c r="I1009" s="23">
        <f>IF(ISNUMBER(G1009),E1009*G1009,"")</f>
        <v>2.6485999999999999E-2</v>
      </c>
      <c r="J1009" s="24"/>
      <c r="K1009" s="19"/>
      <c r="L1009" s="174">
        <v>0</v>
      </c>
    </row>
    <row r="1010" spans="1:12" ht="15.75" hidden="1" thickBot="1" x14ac:dyDescent="0.3">
      <c r="A1010" s="181"/>
      <c r="B1010" s="179"/>
      <c r="C1010" s="25" t="s">
        <v>711</v>
      </c>
      <c r="D1010" s="36" t="s">
        <v>32</v>
      </c>
      <c r="E1010" s="26">
        <v>1</v>
      </c>
      <c r="F1010" s="27" t="s">
        <v>710</v>
      </c>
      <c r="G1010" s="23">
        <v>5.6905000000000001</v>
      </c>
      <c r="H1010" s="27" t="s">
        <v>712</v>
      </c>
      <c r="I1010" s="23">
        <f>IF(ISNUMBER(G1010),E1010*G1010,"")</f>
        <v>5.6905000000000001</v>
      </c>
      <c r="J1010" s="24"/>
      <c r="K1010" s="19"/>
      <c r="L1010" s="174">
        <v>0</v>
      </c>
    </row>
    <row r="1011" spans="1:12" ht="15.75" hidden="1" thickBot="1" x14ac:dyDescent="0.3">
      <c r="A1011" s="181"/>
      <c r="B1011" s="179"/>
      <c r="C1011" s="25" t="s">
        <v>652</v>
      </c>
      <c r="D1011" s="36" t="s">
        <v>32</v>
      </c>
      <c r="E1011" s="26">
        <v>7.4999999999999997E-3</v>
      </c>
      <c r="F1011" s="27" t="s">
        <v>710</v>
      </c>
      <c r="G1011" s="23">
        <v>47.024999999999999</v>
      </c>
      <c r="H1011" s="27" t="s">
        <v>653</v>
      </c>
      <c r="I1011" s="23">
        <f>IF(ISNUMBER(G1011),E1011*G1011,"")</f>
        <v>0.35268749999999999</v>
      </c>
      <c r="J1011" s="24"/>
      <c r="K1011" s="19"/>
      <c r="L1011" s="174">
        <v>0</v>
      </c>
    </row>
    <row r="1012" spans="1:12" ht="15.75" hidden="1" thickBot="1" x14ac:dyDescent="0.3">
      <c r="A1012" s="182"/>
      <c r="B1012" s="183"/>
      <c r="C1012" s="25"/>
      <c r="D1012" s="25"/>
      <c r="E1012" s="26"/>
      <c r="F1012" s="27"/>
      <c r="G1012" s="19" t="s">
        <v>1079</v>
      </c>
      <c r="H1012" s="27"/>
      <c r="I1012" s="19" t="str">
        <f>IF(ISNUMBER(G1012),E1012*G1012,"")</f>
        <v/>
      </c>
      <c r="J1012" s="24"/>
      <c r="K1012" s="19"/>
      <c r="L1012" s="174">
        <v>0</v>
      </c>
    </row>
    <row r="1013" spans="1:12" ht="15.75" hidden="1" thickBot="1" x14ac:dyDescent="0.3">
      <c r="A1013" s="180" t="s">
        <v>713</v>
      </c>
      <c r="B1013" s="178" t="str">
        <f>INDEX(Orçamentária!A:B,MATCH(Composições!A1013,Orçamentária!A:A,0),2)</f>
        <v>Assento para bacia convencional – Linha Administrativa</v>
      </c>
      <c r="C1013" s="30"/>
      <c r="D1013" s="13" t="str">
        <f>TRIM(INDEX(Orçamentária!C:C,MATCH(Composições!A1013,Orçamentária!A:A,0),1))</f>
        <v>un</v>
      </c>
      <c r="E1013" s="14"/>
      <c r="F1013" s="15" t="s">
        <v>714</v>
      </c>
      <c r="G1013" s="31" t="s">
        <v>1079</v>
      </c>
      <c r="H1013" s="16"/>
      <c r="I1013" s="16" t="str">
        <f>IF(ISNUMBER(G1013),E1013*G1013,"")</f>
        <v/>
      </c>
      <c r="J1013" s="17"/>
      <c r="K1013" s="18"/>
      <c r="L1013" s="174">
        <v>0</v>
      </c>
    </row>
    <row r="1014" spans="1:12" ht="15.75" hidden="1" thickBot="1" x14ac:dyDescent="0.3">
      <c r="A1014" s="181"/>
      <c r="B1014" s="179"/>
      <c r="C1014" s="20"/>
      <c r="D1014" s="20"/>
      <c r="E1014" s="21"/>
      <c r="F1014" s="22"/>
      <c r="G1014" s="32" t="s">
        <v>1079</v>
      </c>
      <c r="H1014" s="20"/>
      <c r="I1014" s="19" t="str">
        <f>IF(ISNUMBER(G1014),E1014*G1014,"")</f>
        <v/>
      </c>
      <c r="J1014" s="24"/>
      <c r="K1014" s="19"/>
      <c r="L1014" s="174">
        <v>0</v>
      </c>
    </row>
    <row r="1015" spans="1:12" ht="26.25" hidden="1" thickBot="1" x14ac:dyDescent="0.3">
      <c r="A1015" s="181"/>
      <c r="B1015" s="179"/>
      <c r="C1015" s="25" t="s">
        <v>715</v>
      </c>
      <c r="D1015" s="36" t="s">
        <v>305</v>
      </c>
      <c r="E1015" s="26">
        <v>1</v>
      </c>
      <c r="F1015" s="27" t="s">
        <v>716</v>
      </c>
      <c r="G1015" s="23" t="s">
        <v>1079</v>
      </c>
      <c r="H1015" s="27" t="s">
        <v>688</v>
      </c>
      <c r="I1015" s="23" t="str">
        <f>IF(ISNUMBER(G1015),E1015*G1015,"")</f>
        <v/>
      </c>
      <c r="J1015" s="28">
        <f>SUM(I1015:I1016)</f>
        <v>1.4325999999999999</v>
      </c>
      <c r="K1015" s="29"/>
      <c r="L1015" s="174">
        <v>0</v>
      </c>
    </row>
    <row r="1016" spans="1:12" ht="15.75" hidden="1" thickBot="1" x14ac:dyDescent="0.3">
      <c r="A1016" s="181"/>
      <c r="B1016" s="179"/>
      <c r="C1016" s="25" t="s">
        <v>38</v>
      </c>
      <c r="D1016" s="36" t="s">
        <v>21</v>
      </c>
      <c r="E1016" s="26">
        <v>0.1</v>
      </c>
      <c r="F1016" s="27" t="s">
        <v>716</v>
      </c>
      <c r="G1016" s="19">
        <v>14.325999999999999</v>
      </c>
      <c r="H1016" s="27" t="s">
        <v>39</v>
      </c>
      <c r="I1016" s="23">
        <f>IF(ISNUMBER(G1016),E1016*G1016,"")</f>
        <v>1.4325999999999999</v>
      </c>
      <c r="J1016" s="24"/>
      <c r="K1016" s="19"/>
      <c r="L1016" s="174">
        <v>0</v>
      </c>
    </row>
    <row r="1017" spans="1:12" ht="15.75" hidden="1" thickBot="1" x14ac:dyDescent="0.3">
      <c r="A1017" s="182"/>
      <c r="B1017" s="183"/>
      <c r="C1017" s="25"/>
      <c r="D1017" s="25"/>
      <c r="E1017" s="26"/>
      <c r="F1017" s="27"/>
      <c r="G1017" s="19" t="s">
        <v>1079</v>
      </c>
      <c r="H1017" s="27"/>
      <c r="I1017" s="19" t="str">
        <f>IF(ISNUMBER(G1017),E1017*G1017,"")</f>
        <v/>
      </c>
      <c r="J1017" s="24"/>
      <c r="K1017" s="19"/>
      <c r="L1017" s="174">
        <v>0</v>
      </c>
    </row>
    <row r="1018" spans="1:12" ht="15.75" hidden="1" thickBot="1" x14ac:dyDescent="0.3">
      <c r="A1018" s="180" t="s">
        <v>717</v>
      </c>
      <c r="B1018" s="178" t="str">
        <f>INDEX(Orçamentária!A:B,MATCH(Composições!A1018,Orçamentária!A:A,0),2)</f>
        <v>Bacia convencional – Linha Administrativa</v>
      </c>
      <c r="C1018" s="30"/>
      <c r="D1018" s="13" t="str">
        <f>TRIM(INDEX(Orçamentária!C:C,MATCH(Composições!A1018,Orçamentária!A:A,0),1))</f>
        <v>un</v>
      </c>
      <c r="E1018" s="14"/>
      <c r="F1018" s="15" t="s">
        <v>718</v>
      </c>
      <c r="G1018" s="31" t="s">
        <v>1079</v>
      </c>
      <c r="H1018" s="16"/>
      <c r="I1018" s="16" t="str">
        <f>IF(ISNUMBER(G1018),E1018*G1018,"")</f>
        <v/>
      </c>
      <c r="J1018" s="17"/>
      <c r="K1018" s="18"/>
      <c r="L1018" s="174">
        <v>0</v>
      </c>
    </row>
    <row r="1019" spans="1:12" ht="15.75" hidden="1" thickBot="1" x14ac:dyDescent="0.3">
      <c r="A1019" s="181"/>
      <c r="B1019" s="179"/>
      <c r="C1019" s="20"/>
      <c r="D1019" s="20"/>
      <c r="E1019" s="21"/>
      <c r="F1019" s="22"/>
      <c r="G1019" s="32" t="s">
        <v>1079</v>
      </c>
      <c r="H1019" s="20"/>
      <c r="I1019" s="19" t="str">
        <f>IF(ISNUMBER(G1019),E1019*G1019,"")</f>
        <v/>
      </c>
      <c r="J1019" s="24"/>
      <c r="K1019" s="19"/>
      <c r="L1019" s="174">
        <v>0</v>
      </c>
    </row>
    <row r="1020" spans="1:12" ht="15.75" hidden="1" thickBot="1" x14ac:dyDescent="0.3">
      <c r="A1020" s="181"/>
      <c r="B1020" s="179"/>
      <c r="C1020" s="25" t="s">
        <v>719</v>
      </c>
      <c r="D1020" s="36" t="s">
        <v>588</v>
      </c>
      <c r="E1020" s="26">
        <v>1</v>
      </c>
      <c r="F1020" s="27" t="s">
        <v>720</v>
      </c>
      <c r="G1020" s="23">
        <v>106.49499999999999</v>
      </c>
      <c r="H1020" s="27" t="s">
        <v>721</v>
      </c>
      <c r="I1020" s="23">
        <f>IF(ISNUMBER(G1020),E1020*G1020,"")</f>
        <v>106.49499999999999</v>
      </c>
      <c r="J1020" s="28">
        <f>SUM(I1020:I1026)</f>
        <v>167.71369919999998</v>
      </c>
      <c r="K1020" s="29"/>
      <c r="L1020" s="174">
        <v>0</v>
      </c>
    </row>
    <row r="1021" spans="1:12" ht="26.25" hidden="1" thickBot="1" x14ac:dyDescent="0.3">
      <c r="A1021" s="181"/>
      <c r="B1021" s="179"/>
      <c r="C1021" s="25" t="s">
        <v>645</v>
      </c>
      <c r="D1021" s="25" t="s">
        <v>32</v>
      </c>
      <c r="E1021" s="26">
        <v>1</v>
      </c>
      <c r="F1021" s="27" t="s">
        <v>720</v>
      </c>
      <c r="G1021" s="23" t="s">
        <v>1079</v>
      </c>
      <c r="H1021" s="27" t="s">
        <v>33</v>
      </c>
      <c r="I1021" s="23" t="str">
        <f>IF(ISNUMBER(G1021),E1021*G1021,"")</f>
        <v/>
      </c>
      <c r="J1021" s="24"/>
      <c r="K1021" s="19"/>
      <c r="L1021" s="174">
        <v>0</v>
      </c>
    </row>
    <row r="1022" spans="1:12" ht="26.25" hidden="1" thickBot="1" x14ac:dyDescent="0.3">
      <c r="A1022" s="181"/>
      <c r="B1022" s="179"/>
      <c r="C1022" s="25" t="s">
        <v>722</v>
      </c>
      <c r="D1022" s="36" t="s">
        <v>588</v>
      </c>
      <c r="E1022" s="26">
        <v>2</v>
      </c>
      <c r="F1022" s="27" t="s">
        <v>720</v>
      </c>
      <c r="G1022" s="23">
        <v>16.777000000000001</v>
      </c>
      <c r="H1022" s="27" t="s">
        <v>723</v>
      </c>
      <c r="I1022" s="23">
        <f>IF(ISNUMBER(G1022),E1022*G1022,"")</f>
        <v>33.554000000000002</v>
      </c>
      <c r="J1022" s="24"/>
      <c r="K1022" s="19"/>
      <c r="L1022" s="174">
        <v>0</v>
      </c>
    </row>
    <row r="1023" spans="1:12" ht="15.75" hidden="1" thickBot="1" x14ac:dyDescent="0.3">
      <c r="A1023" s="181"/>
      <c r="B1023" s="179"/>
      <c r="C1023" s="25" t="s">
        <v>642</v>
      </c>
      <c r="D1023" s="36" t="s">
        <v>32</v>
      </c>
      <c r="E1023" s="26">
        <v>1</v>
      </c>
      <c r="F1023" s="27" t="s">
        <v>720</v>
      </c>
      <c r="G1023" s="23">
        <v>1.7954999999999999</v>
      </c>
      <c r="H1023" s="27" t="s">
        <v>644</v>
      </c>
      <c r="I1023" s="46">
        <f>IF(ISNUMBER(G1023),E1023*G1023,"")</f>
        <v>1.7954999999999999</v>
      </c>
      <c r="J1023" s="24"/>
      <c r="K1023" s="19"/>
      <c r="L1023" s="174">
        <v>0</v>
      </c>
    </row>
    <row r="1024" spans="1:12" ht="15.75" hidden="1" thickBot="1" x14ac:dyDescent="0.3">
      <c r="A1024" s="181"/>
      <c r="B1024" s="179"/>
      <c r="C1024" s="25" t="s">
        <v>524</v>
      </c>
      <c r="D1024" s="36" t="s">
        <v>75</v>
      </c>
      <c r="E1024" s="26">
        <v>0.1469</v>
      </c>
      <c r="F1024" s="27" t="s">
        <v>720</v>
      </c>
      <c r="G1024" s="23">
        <v>33.667999999999999</v>
      </c>
      <c r="H1024" s="27" t="s">
        <v>525</v>
      </c>
      <c r="I1024" s="23">
        <f>IF(ISNUMBER(G1024),E1024*G1024,"")</f>
        <v>4.9458292000000004</v>
      </c>
      <c r="J1024" s="24"/>
      <c r="K1024" s="19"/>
      <c r="L1024" s="174">
        <v>0</v>
      </c>
    </row>
    <row r="1025" spans="1:12" ht="15.75" hidden="1" thickBot="1" x14ac:dyDescent="0.3">
      <c r="A1025" s="181"/>
      <c r="B1025" s="179"/>
      <c r="C1025" s="25" t="s">
        <v>70</v>
      </c>
      <c r="D1025" s="36" t="s">
        <v>21</v>
      </c>
      <c r="E1025" s="26">
        <v>0.78</v>
      </c>
      <c r="F1025" s="27" t="s">
        <v>720</v>
      </c>
      <c r="G1025" s="19">
        <v>18.743500000000001</v>
      </c>
      <c r="H1025" s="27" t="s">
        <v>71</v>
      </c>
      <c r="I1025" s="23">
        <f>IF(ISNUMBER(G1025),E1025*G1025,"")</f>
        <v>14.619930000000002</v>
      </c>
      <c r="J1025" s="24"/>
      <c r="K1025" s="19"/>
      <c r="L1025" s="174">
        <v>0</v>
      </c>
    </row>
    <row r="1026" spans="1:12" ht="15.75" hidden="1" thickBot="1" x14ac:dyDescent="0.3">
      <c r="A1026" s="181"/>
      <c r="B1026" s="179"/>
      <c r="C1026" s="25" t="s">
        <v>38</v>
      </c>
      <c r="D1026" s="36" t="s">
        <v>21</v>
      </c>
      <c r="E1026" s="26">
        <v>0.44</v>
      </c>
      <c r="F1026" s="27" t="s">
        <v>720</v>
      </c>
      <c r="G1026" s="19">
        <v>14.325999999999999</v>
      </c>
      <c r="H1026" s="27" t="s">
        <v>39</v>
      </c>
      <c r="I1026" s="23">
        <f>IF(ISNUMBER(G1026),E1026*G1026,"")</f>
        <v>6.3034399999999993</v>
      </c>
      <c r="J1026" s="24"/>
      <c r="K1026" s="19"/>
      <c r="L1026" s="174">
        <v>0</v>
      </c>
    </row>
    <row r="1027" spans="1:12" ht="15.75" hidden="1" thickBot="1" x14ac:dyDescent="0.3">
      <c r="A1027" s="182"/>
      <c r="B1027" s="183"/>
      <c r="C1027" s="25"/>
      <c r="D1027" s="25"/>
      <c r="E1027" s="26"/>
      <c r="F1027" s="27"/>
      <c r="G1027" s="19" t="s">
        <v>1079</v>
      </c>
      <c r="H1027" s="27"/>
      <c r="I1027" s="19" t="str">
        <f>IF(ISNUMBER(G1027),E1027*G1027,"")</f>
        <v/>
      </c>
      <c r="J1027" s="24"/>
      <c r="K1027" s="19"/>
      <c r="L1027" s="174">
        <v>0</v>
      </c>
    </row>
    <row r="1028" spans="1:12" ht="15.75" hidden="1" thickBot="1" x14ac:dyDescent="0.3">
      <c r="A1028" s="180" t="s">
        <v>724</v>
      </c>
      <c r="B1028" s="178" t="str">
        <f>INDEX(Orçamentária!A:B,MATCH(Composições!A1028,Orçamentária!A:A,0),2)</f>
        <v>Bacia convencional com saída horizontal</v>
      </c>
      <c r="C1028" s="30"/>
      <c r="D1028" s="13" t="str">
        <f>TRIM(INDEX(Orçamentária!C:C,MATCH(Composições!A1028,Orçamentária!A:A,0),1))</f>
        <v>un</v>
      </c>
      <c r="E1028" s="14"/>
      <c r="F1028" s="15" t="s">
        <v>725</v>
      </c>
      <c r="G1028" s="31" t="s">
        <v>1079</v>
      </c>
      <c r="H1028" s="16"/>
      <c r="I1028" s="16" t="str">
        <f>IF(ISNUMBER(G1028),E1028*G1028,"")</f>
        <v/>
      </c>
      <c r="J1028" s="17"/>
      <c r="K1028" s="18"/>
      <c r="L1028" s="174">
        <v>0</v>
      </c>
    </row>
    <row r="1029" spans="1:12" ht="15.75" hidden="1" thickBot="1" x14ac:dyDescent="0.3">
      <c r="A1029" s="181"/>
      <c r="B1029" s="179"/>
      <c r="C1029" s="20"/>
      <c r="D1029" s="20"/>
      <c r="E1029" s="21"/>
      <c r="F1029" s="22"/>
      <c r="G1029" s="32" t="s">
        <v>1079</v>
      </c>
      <c r="H1029" s="20"/>
      <c r="I1029" s="19" t="str">
        <f>IF(ISNUMBER(G1029),E1029*G1029,"")</f>
        <v/>
      </c>
      <c r="J1029" s="24"/>
      <c r="K1029" s="19"/>
      <c r="L1029" s="174">
        <v>0</v>
      </c>
    </row>
    <row r="1030" spans="1:12" ht="26.25" hidden="1" thickBot="1" x14ac:dyDescent="0.3">
      <c r="A1030" s="181"/>
      <c r="B1030" s="179"/>
      <c r="C1030" s="25" t="s">
        <v>726</v>
      </c>
      <c r="D1030" s="36" t="s">
        <v>305</v>
      </c>
      <c r="E1030" s="26">
        <v>1</v>
      </c>
      <c r="F1030" s="27" t="s">
        <v>727</v>
      </c>
      <c r="G1030" s="23" t="s">
        <v>1079</v>
      </c>
      <c r="H1030" s="27" t="s">
        <v>33</v>
      </c>
      <c r="I1030" s="23" t="str">
        <f>IF(ISNUMBER(G1030),E1030*G1030,"")</f>
        <v/>
      </c>
      <c r="J1030" s="28">
        <f>SUM(I1030:I1035)</f>
        <v>61.218699200000003</v>
      </c>
      <c r="K1030" s="29"/>
      <c r="L1030" s="174">
        <v>0</v>
      </c>
    </row>
    <row r="1031" spans="1:12" ht="26.25" hidden="1" thickBot="1" x14ac:dyDescent="0.3">
      <c r="A1031" s="181"/>
      <c r="B1031" s="179"/>
      <c r="C1031" s="25" t="s">
        <v>722</v>
      </c>
      <c r="D1031" s="36" t="s">
        <v>588</v>
      </c>
      <c r="E1031" s="26">
        <v>2</v>
      </c>
      <c r="F1031" s="27" t="s">
        <v>727</v>
      </c>
      <c r="G1031" s="23">
        <v>16.777000000000001</v>
      </c>
      <c r="H1031" s="27" t="s">
        <v>723</v>
      </c>
      <c r="I1031" s="23">
        <f>IF(ISNUMBER(G1031),E1031*G1031,"")</f>
        <v>33.554000000000002</v>
      </c>
      <c r="J1031" s="24"/>
      <c r="K1031" s="19"/>
      <c r="L1031" s="174">
        <v>0</v>
      </c>
    </row>
    <row r="1032" spans="1:12" ht="15.75" hidden="1" thickBot="1" x14ac:dyDescent="0.3">
      <c r="A1032" s="181"/>
      <c r="B1032" s="179"/>
      <c r="C1032" s="25" t="s">
        <v>642</v>
      </c>
      <c r="D1032" s="36" t="s">
        <v>32</v>
      </c>
      <c r="E1032" s="26">
        <v>1</v>
      </c>
      <c r="F1032" s="27" t="s">
        <v>727</v>
      </c>
      <c r="G1032" s="23">
        <v>1.7954999999999999</v>
      </c>
      <c r="H1032" s="27" t="s">
        <v>644</v>
      </c>
      <c r="I1032" s="46">
        <f>IF(ISNUMBER(G1032),E1032*G1032,"")</f>
        <v>1.7954999999999999</v>
      </c>
      <c r="J1032" s="24"/>
      <c r="K1032" s="19"/>
      <c r="L1032" s="174">
        <v>0</v>
      </c>
    </row>
    <row r="1033" spans="1:12" ht="15.75" hidden="1" thickBot="1" x14ac:dyDescent="0.3">
      <c r="A1033" s="181"/>
      <c r="B1033" s="179"/>
      <c r="C1033" s="25" t="s">
        <v>524</v>
      </c>
      <c r="D1033" s="36" t="s">
        <v>75</v>
      </c>
      <c r="E1033" s="26">
        <v>0.1469</v>
      </c>
      <c r="F1033" s="27" t="s">
        <v>727</v>
      </c>
      <c r="G1033" s="23">
        <v>33.667999999999999</v>
      </c>
      <c r="H1033" s="27" t="s">
        <v>525</v>
      </c>
      <c r="I1033" s="23">
        <f>IF(ISNUMBER(G1033),E1033*G1033,"")</f>
        <v>4.9458292000000004</v>
      </c>
      <c r="J1033" s="24"/>
      <c r="K1033" s="19"/>
      <c r="L1033" s="174">
        <v>0</v>
      </c>
    </row>
    <row r="1034" spans="1:12" ht="15.75" hidden="1" thickBot="1" x14ac:dyDescent="0.3">
      <c r="A1034" s="181"/>
      <c r="B1034" s="179"/>
      <c r="C1034" s="25" t="s">
        <v>70</v>
      </c>
      <c r="D1034" s="36" t="s">
        <v>21</v>
      </c>
      <c r="E1034" s="26">
        <v>0.78</v>
      </c>
      <c r="F1034" s="27" t="s">
        <v>727</v>
      </c>
      <c r="G1034" s="19">
        <v>18.743500000000001</v>
      </c>
      <c r="H1034" s="27" t="s">
        <v>71</v>
      </c>
      <c r="I1034" s="23">
        <f>IF(ISNUMBER(G1034),E1034*G1034,"")</f>
        <v>14.619930000000002</v>
      </c>
      <c r="J1034" s="24"/>
      <c r="K1034" s="19"/>
      <c r="L1034" s="174">
        <v>0</v>
      </c>
    </row>
    <row r="1035" spans="1:12" ht="15.75" hidden="1" thickBot="1" x14ac:dyDescent="0.3">
      <c r="A1035" s="181"/>
      <c r="B1035" s="179"/>
      <c r="C1035" s="25" t="s">
        <v>38</v>
      </c>
      <c r="D1035" s="36" t="s">
        <v>21</v>
      </c>
      <c r="E1035" s="26">
        <v>0.44</v>
      </c>
      <c r="F1035" s="27" t="s">
        <v>727</v>
      </c>
      <c r="G1035" s="19">
        <v>14.325999999999999</v>
      </c>
      <c r="H1035" s="27" t="s">
        <v>39</v>
      </c>
      <c r="I1035" s="23">
        <f>IF(ISNUMBER(G1035),E1035*G1035,"")</f>
        <v>6.3034399999999993</v>
      </c>
      <c r="J1035" s="24"/>
      <c r="K1035" s="19"/>
      <c r="L1035" s="174">
        <v>0</v>
      </c>
    </row>
    <row r="1036" spans="1:12" ht="15.75" hidden="1" thickBot="1" x14ac:dyDescent="0.3">
      <c r="A1036" s="182"/>
      <c r="B1036" s="183"/>
      <c r="C1036" s="25"/>
      <c r="D1036" s="25"/>
      <c r="E1036" s="26"/>
      <c r="F1036" s="27"/>
      <c r="G1036" s="19" t="s">
        <v>1079</v>
      </c>
      <c r="H1036" s="27"/>
      <c r="I1036" s="19" t="str">
        <f>IF(ISNUMBER(G1036),E1036*G1036,"")</f>
        <v/>
      </c>
      <c r="J1036" s="24"/>
      <c r="K1036" s="19"/>
      <c r="L1036" s="174">
        <v>0</v>
      </c>
    </row>
    <row r="1037" spans="1:12" ht="15.75" hidden="1" thickBot="1" x14ac:dyDescent="0.3">
      <c r="A1037" s="180" t="s">
        <v>728</v>
      </c>
      <c r="B1037" s="178" t="str">
        <f>INDEX(Orçamentária!A:B,MATCH(Composições!A1037,Orçamentária!A:A,0),2)</f>
        <v>Cuba oval de embutir</v>
      </c>
      <c r="C1037" s="30"/>
      <c r="D1037" s="13" t="str">
        <f>TRIM(INDEX(Orçamentária!C:C,MATCH(Composições!A1037,Orçamentária!A:A,0),1))</f>
        <v>un</v>
      </c>
      <c r="E1037" s="14"/>
      <c r="F1037" s="15" t="s">
        <v>729</v>
      </c>
      <c r="G1037" s="31" t="s">
        <v>1079</v>
      </c>
      <c r="H1037" s="16"/>
      <c r="I1037" s="16" t="str">
        <f>IF(ISNUMBER(G1037),E1037*G1037,"")</f>
        <v/>
      </c>
      <c r="J1037" s="17"/>
      <c r="K1037" s="18"/>
      <c r="L1037" s="174">
        <v>0</v>
      </c>
    </row>
    <row r="1038" spans="1:12" ht="15.75" hidden="1" thickBot="1" x14ac:dyDescent="0.3">
      <c r="A1038" s="181"/>
      <c r="B1038" s="179"/>
      <c r="C1038" s="20"/>
      <c r="D1038" s="20"/>
      <c r="E1038" s="21"/>
      <c r="F1038" s="22"/>
      <c r="G1038" s="32" t="s">
        <v>1079</v>
      </c>
      <c r="H1038" s="20"/>
      <c r="I1038" s="19" t="str">
        <f>IF(ISNUMBER(G1038),E1038*G1038,"")</f>
        <v/>
      </c>
      <c r="J1038" s="24"/>
      <c r="K1038" s="19"/>
      <c r="L1038" s="174">
        <v>0</v>
      </c>
    </row>
    <row r="1039" spans="1:12" ht="15.75" hidden="1" thickBot="1" x14ac:dyDescent="0.3">
      <c r="A1039" s="181"/>
      <c r="B1039" s="179"/>
      <c r="C1039" s="25" t="s">
        <v>730</v>
      </c>
      <c r="D1039" s="36" t="s">
        <v>305</v>
      </c>
      <c r="E1039" s="26">
        <v>1</v>
      </c>
      <c r="F1039" s="27" t="s">
        <v>731</v>
      </c>
      <c r="G1039" s="23" t="s">
        <v>1079</v>
      </c>
      <c r="H1039" s="27" t="s">
        <v>33</v>
      </c>
      <c r="I1039" s="23" t="str">
        <f>IF(ISNUMBER(G1039),E1039*G1039,"")</f>
        <v/>
      </c>
      <c r="J1039" s="28">
        <f>SUM(I1039:I1042)</f>
        <v>31.83332485</v>
      </c>
      <c r="K1039" s="29"/>
      <c r="L1039" s="174">
        <v>0</v>
      </c>
    </row>
    <row r="1040" spans="1:12" ht="15.75" hidden="1" thickBot="1" x14ac:dyDescent="0.3">
      <c r="A1040" s="181"/>
      <c r="B1040" s="179"/>
      <c r="C1040" s="25" t="s">
        <v>732</v>
      </c>
      <c r="D1040" s="36" t="s">
        <v>75</v>
      </c>
      <c r="E1040" s="26">
        <v>0.52710000000000001</v>
      </c>
      <c r="F1040" s="27" t="s">
        <v>731</v>
      </c>
      <c r="G1040" s="23">
        <v>27.1035</v>
      </c>
      <c r="H1040" s="27" t="s">
        <v>733</v>
      </c>
      <c r="I1040" s="23">
        <f>IF(ISNUMBER(G1040),E1040*G1040,"")</f>
        <v>14.286254850000001</v>
      </c>
      <c r="J1040" s="24"/>
      <c r="K1040" s="19"/>
      <c r="L1040" s="174">
        <v>0</v>
      </c>
    </row>
    <row r="1041" spans="1:12" ht="15.75" hidden="1" thickBot="1" x14ac:dyDescent="0.3">
      <c r="A1041" s="181"/>
      <c r="B1041" s="179"/>
      <c r="C1041" s="25" t="s">
        <v>38</v>
      </c>
      <c r="D1041" s="36" t="s">
        <v>21</v>
      </c>
      <c r="E1041" s="26">
        <v>0.27</v>
      </c>
      <c r="F1041" s="27" t="s">
        <v>731</v>
      </c>
      <c r="G1041" s="19">
        <v>14.325999999999999</v>
      </c>
      <c r="H1041" s="27" t="s">
        <v>39</v>
      </c>
      <c r="I1041" s="23">
        <f>IF(ISNUMBER(G1041),E1041*G1041,"")</f>
        <v>3.86802</v>
      </c>
      <c r="J1041" s="24"/>
      <c r="K1041" s="19"/>
      <c r="L1041" s="174">
        <v>0</v>
      </c>
    </row>
    <row r="1042" spans="1:12" ht="15.75" hidden="1" thickBot="1" x14ac:dyDescent="0.3">
      <c r="A1042" s="181"/>
      <c r="B1042" s="179"/>
      <c r="C1042" s="25" t="s">
        <v>101</v>
      </c>
      <c r="D1042" s="36" t="s">
        <v>21</v>
      </c>
      <c r="E1042" s="26">
        <v>0.85</v>
      </c>
      <c r="F1042" s="27" t="s">
        <v>731</v>
      </c>
      <c r="G1042" s="19">
        <v>16.093</v>
      </c>
      <c r="H1042" s="27" t="s">
        <v>103</v>
      </c>
      <c r="I1042" s="23">
        <f>IF(ISNUMBER(G1042),E1042*G1042,"")</f>
        <v>13.67905</v>
      </c>
      <c r="J1042" s="24"/>
      <c r="K1042" s="19"/>
      <c r="L1042" s="174">
        <v>0</v>
      </c>
    </row>
    <row r="1043" spans="1:12" ht="15.75" hidden="1" thickBot="1" x14ac:dyDescent="0.3">
      <c r="A1043" s="182"/>
      <c r="B1043" s="183"/>
      <c r="C1043" s="25"/>
      <c r="D1043" s="25"/>
      <c r="E1043" s="26"/>
      <c r="F1043" s="27"/>
      <c r="G1043" s="19" t="s">
        <v>1079</v>
      </c>
      <c r="H1043" s="27"/>
      <c r="I1043" s="19" t="str">
        <f>IF(ISNUMBER(G1043),E1043*G1043,"")</f>
        <v/>
      </c>
      <c r="J1043" s="24"/>
      <c r="K1043" s="19"/>
      <c r="L1043" s="174">
        <v>0</v>
      </c>
    </row>
    <row r="1044" spans="1:12" ht="15.75" hidden="1" thickBot="1" x14ac:dyDescent="0.3">
      <c r="A1044" s="180" t="s">
        <v>734</v>
      </c>
      <c r="B1044" s="178" t="str">
        <f>INDEX(Orçamentária!A:B,MATCH(Composições!A1044,Orçamentária!A:A,0),2)</f>
        <v>Cuba retangular em aço inox – Linha Administrativa</v>
      </c>
      <c r="C1044" s="30"/>
      <c r="D1044" s="13" t="str">
        <f>TRIM(INDEX(Orçamentária!C:C,MATCH(Composições!A1044,Orçamentária!A:A,0),1))</f>
        <v>un</v>
      </c>
      <c r="E1044" s="14"/>
      <c r="F1044" s="15" t="s">
        <v>735</v>
      </c>
      <c r="G1044" s="31" t="s">
        <v>1079</v>
      </c>
      <c r="H1044" s="16"/>
      <c r="I1044" s="16" t="str">
        <f>IF(ISNUMBER(G1044),E1044*G1044,"")</f>
        <v/>
      </c>
      <c r="J1044" s="17"/>
      <c r="K1044" s="18"/>
      <c r="L1044" s="174">
        <v>0</v>
      </c>
    </row>
    <row r="1045" spans="1:12" ht="15.75" hidden="1" thickBot="1" x14ac:dyDescent="0.3">
      <c r="A1045" s="181"/>
      <c r="B1045" s="179"/>
      <c r="C1045" s="20"/>
      <c r="D1045" s="20"/>
      <c r="E1045" s="21"/>
      <c r="F1045" s="22"/>
      <c r="G1045" s="32" t="s">
        <v>1079</v>
      </c>
      <c r="H1045" s="20"/>
      <c r="I1045" s="19" t="str">
        <f>IF(ISNUMBER(G1045),E1045*G1045,"")</f>
        <v/>
      </c>
      <c r="J1045" s="24"/>
      <c r="K1045" s="19"/>
      <c r="L1045" s="174">
        <v>0</v>
      </c>
    </row>
    <row r="1046" spans="1:12" ht="39" hidden="1" thickBot="1" x14ac:dyDescent="0.3">
      <c r="A1046" s="181"/>
      <c r="B1046" s="179"/>
      <c r="C1046" s="25" t="s">
        <v>736</v>
      </c>
      <c r="D1046" s="36" t="s">
        <v>305</v>
      </c>
      <c r="E1046" s="26">
        <v>1</v>
      </c>
      <c r="F1046" s="27" t="s">
        <v>737</v>
      </c>
      <c r="G1046" s="23" t="s">
        <v>1079</v>
      </c>
      <c r="H1046" s="27" t="s">
        <v>33</v>
      </c>
      <c r="I1046" s="23" t="str">
        <f>IF(ISNUMBER(G1046),E1046*G1046,"")</f>
        <v/>
      </c>
      <c r="J1046" s="28">
        <f>SUM(I1046:I1049)</f>
        <v>17.9341209</v>
      </c>
      <c r="K1046" s="29"/>
      <c r="L1046" s="174">
        <v>0</v>
      </c>
    </row>
    <row r="1047" spans="1:12" ht="15.75" hidden="1" thickBot="1" x14ac:dyDescent="0.3">
      <c r="A1047" s="181"/>
      <c r="B1047" s="179"/>
      <c r="C1047" s="25" t="s">
        <v>732</v>
      </c>
      <c r="D1047" s="36" t="s">
        <v>75</v>
      </c>
      <c r="E1047" s="26">
        <v>0.2974</v>
      </c>
      <c r="F1047" s="27" t="s">
        <v>737</v>
      </c>
      <c r="G1047" s="23">
        <v>27.1035</v>
      </c>
      <c r="H1047" s="27" t="s">
        <v>733</v>
      </c>
      <c r="I1047" s="23">
        <f>IF(ISNUMBER(G1047),E1047*G1047,"")</f>
        <v>8.0605808999999997</v>
      </c>
      <c r="J1047" s="24"/>
      <c r="K1047" s="19"/>
      <c r="L1047" s="174">
        <v>0</v>
      </c>
    </row>
    <row r="1048" spans="1:12" ht="15.75" hidden="1" thickBot="1" x14ac:dyDescent="0.3">
      <c r="A1048" s="181"/>
      <c r="B1048" s="179"/>
      <c r="C1048" s="25" t="s">
        <v>101</v>
      </c>
      <c r="D1048" s="36" t="s">
        <v>21</v>
      </c>
      <c r="E1048" s="26">
        <v>0.48</v>
      </c>
      <c r="F1048" s="27" t="s">
        <v>737</v>
      </c>
      <c r="G1048" s="19">
        <v>16.093</v>
      </c>
      <c r="H1048" s="27" t="s">
        <v>103</v>
      </c>
      <c r="I1048" s="23">
        <f>IF(ISNUMBER(G1048),E1048*G1048,"")</f>
        <v>7.72464</v>
      </c>
      <c r="J1048" s="24"/>
      <c r="K1048" s="19"/>
      <c r="L1048" s="174">
        <v>0</v>
      </c>
    </row>
    <row r="1049" spans="1:12" ht="15.75" hidden="1" thickBot="1" x14ac:dyDescent="0.3">
      <c r="A1049" s="181"/>
      <c r="B1049" s="179"/>
      <c r="C1049" s="25" t="s">
        <v>38</v>
      </c>
      <c r="D1049" s="36" t="s">
        <v>21</v>
      </c>
      <c r="E1049" s="26">
        <v>0.15</v>
      </c>
      <c r="F1049" s="27" t="s">
        <v>737</v>
      </c>
      <c r="G1049" s="19">
        <v>14.325999999999999</v>
      </c>
      <c r="H1049" s="27" t="s">
        <v>39</v>
      </c>
      <c r="I1049" s="23">
        <f>IF(ISNUMBER(G1049),E1049*G1049,"")</f>
        <v>2.1488999999999998</v>
      </c>
      <c r="J1049" s="24"/>
      <c r="K1049" s="19"/>
      <c r="L1049" s="174">
        <v>0</v>
      </c>
    </row>
    <row r="1050" spans="1:12" ht="15.75" hidden="1" thickBot="1" x14ac:dyDescent="0.3">
      <c r="A1050" s="182"/>
      <c r="B1050" s="183"/>
      <c r="C1050" s="25"/>
      <c r="D1050" s="25"/>
      <c r="E1050" s="26"/>
      <c r="F1050" s="27"/>
      <c r="G1050" s="19" t="s">
        <v>1079</v>
      </c>
      <c r="H1050" s="27"/>
      <c r="I1050" s="19" t="str">
        <f>IF(ISNUMBER(G1050),E1050*G1050,"")</f>
        <v/>
      </c>
      <c r="J1050" s="24"/>
      <c r="K1050" s="19"/>
      <c r="L1050" s="174">
        <v>0</v>
      </c>
    </row>
    <row r="1051" spans="1:12" ht="15.75" hidden="1" thickBot="1" x14ac:dyDescent="0.3">
      <c r="A1051" s="180" t="s">
        <v>738</v>
      </c>
      <c r="B1051" s="178" t="str">
        <f>INDEX(Orçamentária!A:B,MATCH(Composições!A1051,Orçamentária!A:A,0),2)</f>
        <v>Cuba semiencaixe quadrada com mesa</v>
      </c>
      <c r="C1051" s="30"/>
      <c r="D1051" s="13" t="str">
        <f>TRIM(INDEX(Orçamentária!C:C,MATCH(Composições!A1051,Orçamentária!A:A,0),1))</f>
        <v>un</v>
      </c>
      <c r="E1051" s="14"/>
      <c r="F1051" s="15" t="s">
        <v>729</v>
      </c>
      <c r="G1051" s="31" t="s">
        <v>1079</v>
      </c>
      <c r="H1051" s="16"/>
      <c r="I1051" s="16" t="str">
        <f>IF(ISNUMBER(G1051),E1051*G1051,"")</f>
        <v/>
      </c>
      <c r="J1051" s="17"/>
      <c r="K1051" s="18"/>
      <c r="L1051" s="174">
        <v>0</v>
      </c>
    </row>
    <row r="1052" spans="1:12" ht="15.75" hidden="1" thickBot="1" x14ac:dyDescent="0.3">
      <c r="A1052" s="181"/>
      <c r="B1052" s="179"/>
      <c r="C1052" s="20"/>
      <c r="D1052" s="20"/>
      <c r="E1052" s="21"/>
      <c r="F1052" s="22"/>
      <c r="G1052" s="32" t="s">
        <v>1079</v>
      </c>
      <c r="H1052" s="20"/>
      <c r="I1052" s="19" t="str">
        <f>IF(ISNUMBER(G1052),E1052*G1052,"")</f>
        <v/>
      </c>
      <c r="J1052" s="24"/>
      <c r="K1052" s="19"/>
      <c r="L1052" s="174">
        <v>0</v>
      </c>
    </row>
    <row r="1053" spans="1:12" ht="15.75" hidden="1" thickBot="1" x14ac:dyDescent="0.3">
      <c r="A1053" s="181"/>
      <c r="B1053" s="179"/>
      <c r="C1053" s="25" t="s">
        <v>739</v>
      </c>
      <c r="D1053" s="36" t="s">
        <v>305</v>
      </c>
      <c r="E1053" s="26">
        <v>1</v>
      </c>
      <c r="F1053" s="27" t="s">
        <v>731</v>
      </c>
      <c r="G1053" s="23" t="s">
        <v>1079</v>
      </c>
      <c r="H1053" s="27" t="s">
        <v>33</v>
      </c>
      <c r="I1053" s="23" t="str">
        <f>IF(ISNUMBER(G1053),E1053*G1053,"")</f>
        <v/>
      </c>
      <c r="J1053" s="28">
        <f>SUM(I1053:I1056)</f>
        <v>31.83332485</v>
      </c>
      <c r="K1053" s="29"/>
      <c r="L1053" s="174">
        <v>0</v>
      </c>
    </row>
    <row r="1054" spans="1:12" ht="15.75" hidden="1" thickBot="1" x14ac:dyDescent="0.3">
      <c r="A1054" s="181"/>
      <c r="B1054" s="179"/>
      <c r="C1054" s="25" t="s">
        <v>732</v>
      </c>
      <c r="D1054" s="36" t="s">
        <v>75</v>
      </c>
      <c r="E1054" s="26">
        <v>0.52710000000000001</v>
      </c>
      <c r="F1054" s="27" t="s">
        <v>731</v>
      </c>
      <c r="G1054" s="23">
        <v>27.1035</v>
      </c>
      <c r="H1054" s="27" t="s">
        <v>733</v>
      </c>
      <c r="I1054" s="23">
        <f>IF(ISNUMBER(G1054),E1054*G1054,"")</f>
        <v>14.286254850000001</v>
      </c>
      <c r="J1054" s="24"/>
      <c r="K1054" s="19"/>
      <c r="L1054" s="174">
        <v>0</v>
      </c>
    </row>
    <row r="1055" spans="1:12" ht="15.75" hidden="1" thickBot="1" x14ac:dyDescent="0.3">
      <c r="A1055" s="181"/>
      <c r="B1055" s="179"/>
      <c r="C1055" s="25" t="s">
        <v>38</v>
      </c>
      <c r="D1055" s="36" t="s">
        <v>21</v>
      </c>
      <c r="E1055" s="26">
        <v>0.27</v>
      </c>
      <c r="F1055" s="27" t="s">
        <v>731</v>
      </c>
      <c r="G1055" s="19">
        <v>14.325999999999999</v>
      </c>
      <c r="H1055" s="27" t="s">
        <v>39</v>
      </c>
      <c r="I1055" s="23">
        <f>IF(ISNUMBER(G1055),E1055*G1055,"")</f>
        <v>3.86802</v>
      </c>
      <c r="J1055" s="24"/>
      <c r="K1055" s="19"/>
      <c r="L1055" s="174">
        <v>0</v>
      </c>
    </row>
    <row r="1056" spans="1:12" ht="15.75" hidden="1" thickBot="1" x14ac:dyDescent="0.3">
      <c r="A1056" s="181"/>
      <c r="B1056" s="179"/>
      <c r="C1056" s="25" t="s">
        <v>101</v>
      </c>
      <c r="D1056" s="36" t="s">
        <v>21</v>
      </c>
      <c r="E1056" s="26">
        <v>0.85</v>
      </c>
      <c r="F1056" s="27" t="s">
        <v>731</v>
      </c>
      <c r="G1056" s="19">
        <v>16.093</v>
      </c>
      <c r="H1056" s="27" t="s">
        <v>103</v>
      </c>
      <c r="I1056" s="23">
        <f>IF(ISNUMBER(G1056),E1056*G1056,"")</f>
        <v>13.67905</v>
      </c>
      <c r="J1056" s="24"/>
      <c r="K1056" s="19"/>
      <c r="L1056" s="174">
        <v>0</v>
      </c>
    </row>
    <row r="1057" spans="1:12" ht="15.75" hidden="1" thickBot="1" x14ac:dyDescent="0.3">
      <c r="A1057" s="182"/>
      <c r="B1057" s="183"/>
      <c r="C1057" s="25"/>
      <c r="D1057" s="25"/>
      <c r="E1057" s="26"/>
      <c r="F1057" s="27"/>
      <c r="G1057" s="19" t="s">
        <v>1079</v>
      </c>
      <c r="H1057" s="27"/>
      <c r="I1057" s="19" t="str">
        <f>IF(ISNUMBER(G1057),E1057*G1057,"")</f>
        <v/>
      </c>
      <c r="J1057" s="24"/>
      <c r="K1057" s="19"/>
      <c r="L1057" s="174">
        <v>0</v>
      </c>
    </row>
    <row r="1058" spans="1:12" ht="15.75" hidden="1" thickBot="1" x14ac:dyDescent="0.3">
      <c r="A1058" s="180" t="s">
        <v>740</v>
      </c>
      <c r="B1058" s="178" t="str">
        <f>INDEX(Orçamentária!A:B,MATCH(Composições!A1058,Orçamentária!A:A,0),2)</f>
        <v>Instalação de lavatório reaproveitado</v>
      </c>
      <c r="C1058" s="30"/>
      <c r="D1058" s="13" t="str">
        <f>TRIM(INDEX(Orçamentária!C:C,MATCH(Composições!A1058,Orçamentária!A:A,0),1))</f>
        <v>un</v>
      </c>
      <c r="E1058" s="14"/>
      <c r="F1058" s="15" t="s">
        <v>741</v>
      </c>
      <c r="G1058" s="31" t="s">
        <v>1079</v>
      </c>
      <c r="H1058" s="16"/>
      <c r="I1058" s="16" t="str">
        <f>IF(ISNUMBER(G1058),E1058*G1058,"")</f>
        <v/>
      </c>
      <c r="J1058" s="17"/>
      <c r="K1058" s="18"/>
      <c r="L1058" s="174">
        <v>0</v>
      </c>
    </row>
    <row r="1059" spans="1:12" ht="15.75" hidden="1" thickBot="1" x14ac:dyDescent="0.3">
      <c r="A1059" s="181"/>
      <c r="B1059" s="179"/>
      <c r="C1059" s="20"/>
      <c r="D1059" s="20"/>
      <c r="E1059" s="21"/>
      <c r="F1059" s="22"/>
      <c r="G1059" s="32" t="s">
        <v>1079</v>
      </c>
      <c r="H1059" s="20"/>
      <c r="I1059" s="19" t="str">
        <f>IF(ISNUMBER(G1059),E1059*G1059,"")</f>
        <v/>
      </c>
      <c r="J1059" s="24"/>
      <c r="K1059" s="19"/>
      <c r="L1059" s="174">
        <v>0</v>
      </c>
    </row>
    <row r="1060" spans="1:12" ht="26.25" hidden="1" thickBot="1" x14ac:dyDescent="0.3">
      <c r="A1060" s="181"/>
      <c r="B1060" s="179"/>
      <c r="C1060" s="25" t="s">
        <v>742</v>
      </c>
      <c r="D1060" s="36" t="s">
        <v>588</v>
      </c>
      <c r="E1060" s="26">
        <v>2</v>
      </c>
      <c r="F1060" s="27" t="s">
        <v>743</v>
      </c>
      <c r="G1060" s="23">
        <v>12.435499999999999</v>
      </c>
      <c r="H1060" s="27" t="s">
        <v>744</v>
      </c>
      <c r="I1060" s="23">
        <f>IF(ISNUMBER(G1060),E1060*G1060,"")</f>
        <v>24.870999999999999</v>
      </c>
      <c r="J1060" s="28">
        <f>SUM(I1060:I1063)</f>
        <v>36.609872599999996</v>
      </c>
      <c r="K1060" s="29"/>
      <c r="L1060" s="174">
        <v>0</v>
      </c>
    </row>
    <row r="1061" spans="1:12" ht="15.75" hidden="1" thickBot="1" x14ac:dyDescent="0.3">
      <c r="A1061" s="181"/>
      <c r="B1061" s="179"/>
      <c r="C1061" s="25" t="s">
        <v>524</v>
      </c>
      <c r="D1061" s="36" t="s">
        <v>75</v>
      </c>
      <c r="E1061" s="26">
        <v>5.0700000000000002E-2</v>
      </c>
      <c r="F1061" s="27" t="s">
        <v>743</v>
      </c>
      <c r="G1061" s="23">
        <v>33.667999999999999</v>
      </c>
      <c r="H1061" s="27" t="s">
        <v>525</v>
      </c>
      <c r="I1061" s="23">
        <f>IF(ISNUMBER(G1061),E1061*G1061,"")</f>
        <v>1.7069676</v>
      </c>
      <c r="J1061" s="24"/>
      <c r="K1061" s="19"/>
      <c r="L1061" s="174">
        <v>0</v>
      </c>
    </row>
    <row r="1062" spans="1:12" ht="15.75" hidden="1" thickBot="1" x14ac:dyDescent="0.3">
      <c r="A1062" s="181"/>
      <c r="B1062" s="179"/>
      <c r="C1062" s="25" t="s">
        <v>70</v>
      </c>
      <c r="D1062" s="36" t="s">
        <v>21</v>
      </c>
      <c r="E1062" s="26">
        <v>0.39</v>
      </c>
      <c r="F1062" s="27" t="s">
        <v>743</v>
      </c>
      <c r="G1062" s="19">
        <v>18.743500000000001</v>
      </c>
      <c r="H1062" s="27" t="s">
        <v>71</v>
      </c>
      <c r="I1062" s="23">
        <f>IF(ISNUMBER(G1062),E1062*G1062,"")</f>
        <v>7.3099650000000009</v>
      </c>
      <c r="J1062" s="24"/>
      <c r="K1062" s="19"/>
      <c r="L1062" s="174">
        <v>0</v>
      </c>
    </row>
    <row r="1063" spans="1:12" ht="15.75" hidden="1" thickBot="1" x14ac:dyDescent="0.3">
      <c r="A1063" s="181"/>
      <c r="B1063" s="179"/>
      <c r="C1063" s="25" t="s">
        <v>38</v>
      </c>
      <c r="D1063" s="36" t="s">
        <v>21</v>
      </c>
      <c r="E1063" s="26">
        <v>0.19</v>
      </c>
      <c r="F1063" s="27" t="s">
        <v>743</v>
      </c>
      <c r="G1063" s="19">
        <v>14.325999999999999</v>
      </c>
      <c r="H1063" s="27" t="s">
        <v>39</v>
      </c>
      <c r="I1063" s="23">
        <f>IF(ISNUMBER(G1063),E1063*G1063,"")</f>
        <v>2.7219399999999996</v>
      </c>
      <c r="J1063" s="24"/>
      <c r="K1063" s="19"/>
      <c r="L1063" s="174">
        <v>0</v>
      </c>
    </row>
    <row r="1064" spans="1:12" ht="15.75" hidden="1" thickBot="1" x14ac:dyDescent="0.3">
      <c r="A1064" s="181"/>
      <c r="B1064" s="179"/>
      <c r="C1064" s="25"/>
      <c r="D1064" s="36"/>
      <c r="E1064" s="26"/>
      <c r="F1064" s="27"/>
      <c r="G1064" s="23" t="s">
        <v>1079</v>
      </c>
      <c r="H1064" s="27"/>
      <c r="I1064" s="23" t="str">
        <f>IF(ISNUMBER(G1064),E1064*G1064,"")</f>
        <v/>
      </c>
      <c r="J1064" s="24"/>
      <c r="K1064" s="19"/>
      <c r="L1064" s="174">
        <v>0</v>
      </c>
    </row>
    <row r="1065" spans="1:12" ht="15.75" hidden="1" thickBot="1" x14ac:dyDescent="0.3">
      <c r="A1065" s="180" t="s">
        <v>745</v>
      </c>
      <c r="B1065" s="178" t="str">
        <f>INDEX(Orçamentária!A:B,MATCH(Composições!A1065,Orçamentária!A:A,0),2)</f>
        <v>Instalação de mictório reaproveitado</v>
      </c>
      <c r="C1065" s="30"/>
      <c r="D1065" s="13" t="str">
        <f>TRIM(INDEX(Orçamentária!C:C,MATCH(Composições!A1065,Orçamentária!A:A,0),1))</f>
        <v>un</v>
      </c>
      <c r="E1065" s="14"/>
      <c r="F1065" s="15" t="s">
        <v>746</v>
      </c>
      <c r="G1065" s="31" t="s">
        <v>1079</v>
      </c>
      <c r="H1065" s="16"/>
      <c r="I1065" s="16" t="str">
        <f>IF(ISNUMBER(G1065),E1065*G1065,"")</f>
        <v/>
      </c>
      <c r="J1065" s="17"/>
      <c r="K1065" s="18"/>
      <c r="L1065" s="174">
        <v>0</v>
      </c>
    </row>
    <row r="1066" spans="1:12" ht="15.75" hidden="1" thickBot="1" x14ac:dyDescent="0.3">
      <c r="A1066" s="181"/>
      <c r="B1066" s="179"/>
      <c r="C1066" s="20"/>
      <c r="D1066" s="20"/>
      <c r="E1066" s="21"/>
      <c r="F1066" s="22"/>
      <c r="G1066" s="32" t="s">
        <v>1079</v>
      </c>
      <c r="H1066" s="20"/>
      <c r="I1066" s="19" t="str">
        <f>IF(ISNUMBER(G1066),E1066*G1066,"")</f>
        <v/>
      </c>
      <c r="J1066" s="24"/>
      <c r="K1066" s="19"/>
      <c r="L1066" s="174">
        <v>0</v>
      </c>
    </row>
    <row r="1067" spans="1:12" ht="26.25" hidden="1" thickBot="1" x14ac:dyDescent="0.3">
      <c r="A1067" s="181"/>
      <c r="B1067" s="179"/>
      <c r="C1067" s="25" t="s">
        <v>742</v>
      </c>
      <c r="D1067" s="36" t="s">
        <v>588</v>
      </c>
      <c r="E1067" s="26">
        <v>2</v>
      </c>
      <c r="F1067" s="27" t="s">
        <v>747</v>
      </c>
      <c r="G1067" s="23">
        <v>12.435499999999999</v>
      </c>
      <c r="H1067" s="27" t="s">
        <v>744</v>
      </c>
      <c r="I1067" s="19">
        <f>IF(ISNUMBER(G1067),E1067*G1067,"")</f>
        <v>24.870999999999999</v>
      </c>
      <c r="J1067" s="28">
        <f>SUM(I1067:I1070)</f>
        <v>36.710688499999996</v>
      </c>
      <c r="K1067" s="29"/>
      <c r="L1067" s="174">
        <v>0</v>
      </c>
    </row>
    <row r="1068" spans="1:12" ht="15.75" hidden="1" thickBot="1" x14ac:dyDescent="0.3">
      <c r="A1068" s="181"/>
      <c r="B1068" s="179"/>
      <c r="C1068" s="25" t="s">
        <v>748</v>
      </c>
      <c r="D1068" s="36" t="s">
        <v>588</v>
      </c>
      <c r="E1068" s="26">
        <v>3.6499999999999998E-2</v>
      </c>
      <c r="F1068" s="27" t="s">
        <v>747</v>
      </c>
      <c r="G1068" s="23">
        <v>2.8974999999999995</v>
      </c>
      <c r="H1068" s="27" t="s">
        <v>749</v>
      </c>
      <c r="I1068" s="19">
        <f>IF(ISNUMBER(G1068),E1068*G1068,"")</f>
        <v>0.10575874999999997</v>
      </c>
      <c r="J1068" s="24"/>
      <c r="K1068" s="19"/>
      <c r="L1068" s="174">
        <v>0</v>
      </c>
    </row>
    <row r="1069" spans="1:12" ht="15.75" hidden="1" thickBot="1" x14ac:dyDescent="0.3">
      <c r="A1069" s="181"/>
      <c r="B1069" s="179"/>
      <c r="C1069" s="25" t="s">
        <v>38</v>
      </c>
      <c r="D1069" s="36" t="s">
        <v>21</v>
      </c>
      <c r="E1069" s="26">
        <f>ROUND(0.3179/2,4)</f>
        <v>0.159</v>
      </c>
      <c r="F1069" s="27" t="s">
        <v>746</v>
      </c>
      <c r="G1069" s="19">
        <v>14.325999999999999</v>
      </c>
      <c r="H1069" s="27" t="s">
        <v>39</v>
      </c>
      <c r="I1069" s="23">
        <f>IF(ISNUMBER(G1069),E1069*G1069,"")</f>
        <v>2.2778339999999999</v>
      </c>
      <c r="J1069" s="24"/>
      <c r="K1069" s="19"/>
      <c r="L1069" s="174">
        <v>0</v>
      </c>
    </row>
    <row r="1070" spans="1:12" ht="15.75" hidden="1" thickBot="1" x14ac:dyDescent="0.3">
      <c r="A1070" s="181"/>
      <c r="B1070" s="179"/>
      <c r="C1070" s="25" t="s">
        <v>70</v>
      </c>
      <c r="D1070" s="36" t="s">
        <v>21</v>
      </c>
      <c r="E1070" s="26">
        <f>1.009/2</f>
        <v>0.50449999999999995</v>
      </c>
      <c r="F1070" s="27" t="s">
        <v>746</v>
      </c>
      <c r="G1070" s="19">
        <v>18.743500000000001</v>
      </c>
      <c r="H1070" s="27" t="s">
        <v>71</v>
      </c>
      <c r="I1070" s="23">
        <f>IF(ISNUMBER(G1070),E1070*G1070,"")</f>
        <v>9.4560957499999994</v>
      </c>
      <c r="J1070" s="24"/>
      <c r="K1070" s="19"/>
      <c r="L1070" s="174">
        <v>0</v>
      </c>
    </row>
    <row r="1071" spans="1:12" ht="15.75" hidden="1" thickBot="1" x14ac:dyDescent="0.3">
      <c r="A1071" s="181"/>
      <c r="B1071" s="179"/>
      <c r="C1071" s="25"/>
      <c r="D1071" s="36"/>
      <c r="E1071" s="26"/>
      <c r="F1071" s="27"/>
      <c r="G1071" s="23" t="s">
        <v>1079</v>
      </c>
      <c r="H1071" s="27"/>
      <c r="I1071" s="23" t="str">
        <f>IF(ISNUMBER(G1071),E1071*G1071,"")</f>
        <v/>
      </c>
      <c r="J1071" s="24"/>
      <c r="K1071" s="19"/>
      <c r="L1071" s="174">
        <v>0</v>
      </c>
    </row>
    <row r="1072" spans="1:12" ht="26.25" hidden="1" thickBot="1" x14ac:dyDescent="0.3">
      <c r="A1072" s="181"/>
      <c r="B1072" s="179"/>
      <c r="C1072" s="44" t="s">
        <v>750</v>
      </c>
      <c r="D1072" s="36"/>
      <c r="E1072" s="26"/>
      <c r="F1072" s="27"/>
      <c r="G1072" s="23" t="s">
        <v>1079</v>
      </c>
      <c r="H1072" s="27"/>
      <c r="I1072" s="23" t="str">
        <f>IF(ISNUMBER(G1072),E1072*G1072,"")</f>
        <v/>
      </c>
      <c r="J1072" s="24"/>
      <c r="K1072" s="19"/>
      <c r="L1072" s="174">
        <v>0</v>
      </c>
    </row>
    <row r="1073" spans="1:12" ht="15.75" hidden="1" thickBot="1" x14ac:dyDescent="0.3">
      <c r="A1073" s="181"/>
      <c r="B1073" s="179"/>
      <c r="C1073" s="25"/>
      <c r="D1073" s="25"/>
      <c r="E1073" s="26"/>
      <c r="F1073" s="27"/>
      <c r="G1073" s="23" t="s">
        <v>1079</v>
      </c>
      <c r="H1073" s="27"/>
      <c r="I1073" s="23" t="str">
        <f>IF(ISNUMBER(G1073),E1073*G1073,"")</f>
        <v/>
      </c>
      <c r="J1073" s="24"/>
      <c r="K1073" s="19"/>
      <c r="L1073" s="174">
        <v>0</v>
      </c>
    </row>
    <row r="1074" spans="1:12" ht="15.75" hidden="1" thickBot="1" x14ac:dyDescent="0.3">
      <c r="A1074" s="180" t="s">
        <v>751</v>
      </c>
      <c r="B1074" s="178" t="str">
        <f>INDEX(Orçamentária!A:B,MATCH(Composições!A1074,Orçamentária!A:A,0),2)</f>
        <v>Instalação de vaso sanitário reaproveitado</v>
      </c>
      <c r="C1074" s="30"/>
      <c r="D1074" s="13" t="str">
        <f>TRIM(INDEX(Orçamentária!C:C,MATCH(Composições!A1074,Orçamentária!A:A,0),1))</f>
        <v>un</v>
      </c>
      <c r="E1074" s="14"/>
      <c r="F1074" s="15" t="s">
        <v>752</v>
      </c>
      <c r="G1074" s="31" t="s">
        <v>1079</v>
      </c>
      <c r="H1074" s="16"/>
      <c r="I1074" s="16" t="str">
        <f>IF(ISNUMBER(G1074),E1074*G1074,"")</f>
        <v/>
      </c>
      <c r="J1074" s="17"/>
      <c r="K1074" s="18"/>
      <c r="L1074" s="174">
        <v>0</v>
      </c>
    </row>
    <row r="1075" spans="1:12" ht="15.75" hidden="1" thickBot="1" x14ac:dyDescent="0.3">
      <c r="A1075" s="181"/>
      <c r="B1075" s="179"/>
      <c r="C1075" s="20"/>
      <c r="D1075" s="20"/>
      <c r="E1075" s="21"/>
      <c r="F1075" s="22"/>
      <c r="G1075" s="32" t="s">
        <v>1079</v>
      </c>
      <c r="H1075" s="20"/>
      <c r="I1075" s="19" t="str">
        <f>IF(ISNUMBER(G1075),E1075*G1075,"")</f>
        <v/>
      </c>
      <c r="J1075" s="24"/>
      <c r="K1075" s="19"/>
      <c r="L1075" s="174">
        <v>0</v>
      </c>
    </row>
    <row r="1076" spans="1:12" ht="26.25" hidden="1" thickBot="1" x14ac:dyDescent="0.3">
      <c r="A1076" s="181"/>
      <c r="B1076" s="179"/>
      <c r="C1076" s="25" t="s">
        <v>722</v>
      </c>
      <c r="D1076" s="36" t="s">
        <v>588</v>
      </c>
      <c r="E1076" s="26">
        <v>2</v>
      </c>
      <c r="F1076" s="27" t="s">
        <v>643</v>
      </c>
      <c r="G1076" s="23">
        <v>16.777000000000001</v>
      </c>
      <c r="H1076" s="27" t="s">
        <v>723</v>
      </c>
      <c r="I1076" s="23">
        <f>IF(ISNUMBER(G1076),E1076*G1076,"")</f>
        <v>33.554000000000002</v>
      </c>
      <c r="J1076" s="28">
        <f>SUM(I1076:I1080)</f>
        <v>52.634358600000006</v>
      </c>
      <c r="K1076" s="29"/>
      <c r="L1076" s="174">
        <v>0</v>
      </c>
    </row>
    <row r="1077" spans="1:12" ht="15.75" hidden="1" thickBot="1" x14ac:dyDescent="0.3">
      <c r="A1077" s="181"/>
      <c r="B1077" s="179"/>
      <c r="C1077" s="25" t="s">
        <v>642</v>
      </c>
      <c r="D1077" s="36" t="s">
        <v>32</v>
      </c>
      <c r="E1077" s="26">
        <v>1</v>
      </c>
      <c r="F1077" s="27" t="s">
        <v>643</v>
      </c>
      <c r="G1077" s="23">
        <v>1.7954999999999999</v>
      </c>
      <c r="H1077" s="27" t="s">
        <v>644</v>
      </c>
      <c r="I1077" s="46">
        <f>IF(ISNUMBER(G1077),E1077*G1077,"")</f>
        <v>1.7954999999999999</v>
      </c>
      <c r="J1077" s="24"/>
      <c r="K1077" s="19"/>
      <c r="L1077" s="174">
        <v>0</v>
      </c>
    </row>
    <row r="1078" spans="1:12" ht="15.75" hidden="1" thickBot="1" x14ac:dyDescent="0.3">
      <c r="A1078" s="181"/>
      <c r="B1078" s="179"/>
      <c r="C1078" s="25" t="s">
        <v>524</v>
      </c>
      <c r="D1078" s="36" t="s">
        <v>75</v>
      </c>
      <c r="E1078" s="26">
        <v>8.8099999999999998E-2</v>
      </c>
      <c r="F1078" s="27" t="s">
        <v>643</v>
      </c>
      <c r="G1078" s="23">
        <v>33.667999999999999</v>
      </c>
      <c r="H1078" s="27" t="s">
        <v>525</v>
      </c>
      <c r="I1078" s="23">
        <f>IF(ISNUMBER(G1078),E1078*G1078,"")</f>
        <v>2.9661507999999999</v>
      </c>
      <c r="J1078" s="24"/>
      <c r="K1078" s="19"/>
      <c r="L1078" s="174">
        <v>0</v>
      </c>
    </row>
    <row r="1079" spans="1:12" ht="15.75" hidden="1" thickBot="1" x14ac:dyDescent="0.3">
      <c r="A1079" s="181"/>
      <c r="B1079" s="179"/>
      <c r="C1079" s="25" t="s">
        <v>70</v>
      </c>
      <c r="D1079" s="36" t="s">
        <v>21</v>
      </c>
      <c r="E1079" s="26">
        <v>0.49680000000000002</v>
      </c>
      <c r="F1079" s="27" t="s">
        <v>643</v>
      </c>
      <c r="G1079" s="19">
        <v>18.743500000000001</v>
      </c>
      <c r="H1079" s="27" t="s">
        <v>71</v>
      </c>
      <c r="I1079" s="23">
        <f>IF(ISNUMBER(G1079),E1079*G1079,"")</f>
        <v>9.3117708000000015</v>
      </c>
      <c r="J1079" s="24"/>
      <c r="K1079" s="19"/>
      <c r="L1079" s="174">
        <v>0</v>
      </c>
    </row>
    <row r="1080" spans="1:12" ht="15.75" hidden="1" thickBot="1" x14ac:dyDescent="0.3">
      <c r="A1080" s="181"/>
      <c r="B1080" s="179"/>
      <c r="C1080" s="25" t="s">
        <v>38</v>
      </c>
      <c r="D1080" s="36" t="s">
        <v>21</v>
      </c>
      <c r="E1080" s="26">
        <v>0.34949999999999998</v>
      </c>
      <c r="F1080" s="27" t="s">
        <v>643</v>
      </c>
      <c r="G1080" s="19">
        <v>14.325999999999999</v>
      </c>
      <c r="H1080" s="27" t="s">
        <v>39</v>
      </c>
      <c r="I1080" s="23">
        <f>IF(ISNUMBER(G1080),E1080*G1080,"")</f>
        <v>5.0069369999999989</v>
      </c>
      <c r="J1080" s="24"/>
      <c r="K1080" s="19"/>
      <c r="L1080" s="174">
        <v>0</v>
      </c>
    </row>
    <row r="1081" spans="1:12" ht="15.75" hidden="1" thickBot="1" x14ac:dyDescent="0.3">
      <c r="A1081" s="181"/>
      <c r="B1081" s="179"/>
      <c r="C1081" s="25"/>
      <c r="D1081" s="25"/>
      <c r="E1081" s="26"/>
      <c r="F1081" s="27"/>
      <c r="G1081" s="19" t="s">
        <v>1079</v>
      </c>
      <c r="H1081" s="27"/>
      <c r="I1081" s="23" t="str">
        <f>IF(ISNUMBER(G1081),E1081*G1081,"")</f>
        <v/>
      </c>
      <c r="J1081" s="24"/>
      <c r="K1081" s="19"/>
      <c r="L1081" s="174">
        <v>0</v>
      </c>
    </row>
    <row r="1082" spans="1:12" ht="15.75" hidden="1" thickBot="1" x14ac:dyDescent="0.3">
      <c r="A1082" s="180" t="s">
        <v>753</v>
      </c>
      <c r="B1082" s="178" t="str">
        <f>INDEX(Orçamentária!A:B,MATCH(Composições!A1082,Orçamentária!A:A,0),2)</f>
        <v>Lavatório suspenso</v>
      </c>
      <c r="C1082" s="30"/>
      <c r="D1082" s="13" t="str">
        <f>TRIM(INDEX(Orçamentária!C:C,MATCH(Composições!A1082,Orçamentária!A:A,0),1))</f>
        <v>un</v>
      </c>
      <c r="E1082" s="14"/>
      <c r="F1082" s="15" t="s">
        <v>743</v>
      </c>
      <c r="G1082" s="31" t="s">
        <v>1079</v>
      </c>
      <c r="H1082" s="16"/>
      <c r="I1082" s="16" t="str">
        <f>IF(ISNUMBER(G1082),E1082*G1082,"")</f>
        <v/>
      </c>
      <c r="J1082" s="17"/>
      <c r="K1082" s="18"/>
      <c r="L1082" s="174">
        <v>0</v>
      </c>
    </row>
    <row r="1083" spans="1:12" ht="15.75" hidden="1" thickBot="1" x14ac:dyDescent="0.3">
      <c r="A1083" s="181"/>
      <c r="B1083" s="179"/>
      <c r="C1083" s="20"/>
      <c r="D1083" s="20"/>
      <c r="E1083" s="21"/>
      <c r="F1083" s="22"/>
      <c r="G1083" s="32" t="s">
        <v>1079</v>
      </c>
      <c r="H1083" s="20"/>
      <c r="I1083" s="19" t="str">
        <f>IF(ISNUMBER(G1083),E1083*G1083,"")</f>
        <v/>
      </c>
      <c r="J1083" s="24"/>
      <c r="K1083" s="19"/>
      <c r="L1083" s="174">
        <v>0</v>
      </c>
    </row>
    <row r="1084" spans="1:12" ht="15.75" hidden="1" thickBot="1" x14ac:dyDescent="0.3">
      <c r="A1084" s="181"/>
      <c r="B1084" s="179"/>
      <c r="C1084" s="25" t="s">
        <v>754</v>
      </c>
      <c r="D1084" s="36" t="s">
        <v>588</v>
      </c>
      <c r="E1084" s="26">
        <v>1</v>
      </c>
      <c r="F1084" s="27" t="s">
        <v>743</v>
      </c>
      <c r="G1084" s="23">
        <v>69.492500000000007</v>
      </c>
      <c r="H1084" s="27" t="s">
        <v>755</v>
      </c>
      <c r="I1084" s="23">
        <f>IF(ISNUMBER(G1084),E1084*G1084,"")</f>
        <v>69.492500000000007</v>
      </c>
      <c r="J1084" s="28">
        <f>SUM(I1084:I1088)</f>
        <v>105.34262530000001</v>
      </c>
      <c r="K1084" s="29"/>
      <c r="L1084" s="174">
        <v>0</v>
      </c>
    </row>
    <row r="1085" spans="1:12" ht="26.25" hidden="1" thickBot="1" x14ac:dyDescent="0.3">
      <c r="A1085" s="181"/>
      <c r="B1085" s="179"/>
      <c r="C1085" s="25" t="s">
        <v>742</v>
      </c>
      <c r="D1085" s="36" t="s">
        <v>588</v>
      </c>
      <c r="E1085" s="26">
        <v>2</v>
      </c>
      <c r="F1085" s="27" t="s">
        <v>743</v>
      </c>
      <c r="G1085" s="23">
        <v>12.435499999999999</v>
      </c>
      <c r="H1085" s="27" t="s">
        <v>744</v>
      </c>
      <c r="I1085" s="23">
        <f>IF(ISNUMBER(G1085),E1085*G1085,"")</f>
        <v>24.870999999999999</v>
      </c>
      <c r="J1085" s="24"/>
      <c r="K1085" s="19"/>
      <c r="L1085" s="174">
        <v>0</v>
      </c>
    </row>
    <row r="1086" spans="1:12" ht="15.75" hidden="1" thickBot="1" x14ac:dyDescent="0.3">
      <c r="A1086" s="181"/>
      <c r="B1086" s="179"/>
      <c r="C1086" s="25" t="s">
        <v>524</v>
      </c>
      <c r="D1086" s="36" t="s">
        <v>75</v>
      </c>
      <c r="E1086" s="26">
        <v>3.04E-2</v>
      </c>
      <c r="F1086" s="27" t="s">
        <v>743</v>
      </c>
      <c r="G1086" s="23">
        <v>33.667999999999999</v>
      </c>
      <c r="H1086" s="27" t="s">
        <v>525</v>
      </c>
      <c r="I1086" s="23">
        <f>IF(ISNUMBER(G1086),E1086*G1086,"")</f>
        <v>1.0235072000000001</v>
      </c>
      <c r="J1086" s="24"/>
      <c r="K1086" s="19"/>
      <c r="L1086" s="174">
        <v>0</v>
      </c>
    </row>
    <row r="1087" spans="1:12" ht="15.75" hidden="1" thickBot="1" x14ac:dyDescent="0.3">
      <c r="A1087" s="181"/>
      <c r="B1087" s="179"/>
      <c r="C1087" s="25" t="s">
        <v>70</v>
      </c>
      <c r="D1087" s="36" t="s">
        <v>21</v>
      </c>
      <c r="E1087" s="26">
        <v>0.38700000000000001</v>
      </c>
      <c r="F1087" s="27" t="s">
        <v>743</v>
      </c>
      <c r="G1087" s="19">
        <v>18.743500000000001</v>
      </c>
      <c r="H1087" s="27" t="s">
        <v>71</v>
      </c>
      <c r="I1087" s="23">
        <f>IF(ISNUMBER(G1087),E1087*G1087,"")</f>
        <v>7.2537345000000002</v>
      </c>
      <c r="J1087" s="24"/>
      <c r="K1087" s="19"/>
      <c r="L1087" s="174">
        <v>0</v>
      </c>
    </row>
    <row r="1088" spans="1:12" ht="15.75" hidden="1" thickBot="1" x14ac:dyDescent="0.3">
      <c r="A1088" s="181"/>
      <c r="B1088" s="179"/>
      <c r="C1088" s="25" t="s">
        <v>38</v>
      </c>
      <c r="D1088" s="36" t="s">
        <v>21</v>
      </c>
      <c r="E1088" s="26">
        <v>0.18859999999999999</v>
      </c>
      <c r="F1088" s="27" t="s">
        <v>743</v>
      </c>
      <c r="G1088" s="19">
        <v>14.325999999999999</v>
      </c>
      <c r="H1088" s="27" t="s">
        <v>39</v>
      </c>
      <c r="I1088" s="23">
        <f>IF(ISNUMBER(G1088),E1088*G1088,"")</f>
        <v>2.7018835999999995</v>
      </c>
      <c r="J1088" s="24"/>
      <c r="K1088" s="19"/>
      <c r="L1088" s="174">
        <v>0</v>
      </c>
    </row>
    <row r="1089" spans="1:12" ht="15.75" hidden="1" thickBot="1" x14ac:dyDescent="0.3">
      <c r="A1089" s="182"/>
      <c r="B1089" s="183"/>
      <c r="C1089" s="25"/>
      <c r="D1089" s="25"/>
      <c r="E1089" s="26"/>
      <c r="F1089" s="27"/>
      <c r="G1089" s="19" t="s">
        <v>1079</v>
      </c>
      <c r="H1089" s="27"/>
      <c r="I1089" s="19" t="str">
        <f>IF(ISNUMBER(G1089),E1089*G1089,"")</f>
        <v/>
      </c>
      <c r="J1089" s="24"/>
      <c r="K1089" s="19"/>
      <c r="L1089" s="174">
        <v>0</v>
      </c>
    </row>
    <row r="1090" spans="1:12" ht="15.75" hidden="1" thickBot="1" x14ac:dyDescent="0.3">
      <c r="A1090" s="180" t="s">
        <v>756</v>
      </c>
      <c r="B1090" s="178" t="str">
        <f>INDEX(Orçamentária!A:B,MATCH(Composições!A1090,Orçamentária!A:A,0),2)</f>
        <v>Mictório – Linha Administrativa</v>
      </c>
      <c r="C1090" s="30"/>
      <c r="D1090" s="13" t="str">
        <f>TRIM(INDEX(Orçamentária!C:C,MATCH(Composições!A1090,Orçamentária!A:A,0),1))</f>
        <v>un</v>
      </c>
      <c r="E1090" s="14"/>
      <c r="F1090" s="15" t="s">
        <v>746</v>
      </c>
      <c r="G1090" s="31" t="s">
        <v>1079</v>
      </c>
      <c r="H1090" s="16"/>
      <c r="I1090" s="16" t="str">
        <f>IF(ISNUMBER(G1090),E1090*G1090,"")</f>
        <v/>
      </c>
      <c r="J1090" s="17"/>
      <c r="K1090" s="18"/>
      <c r="L1090" s="174">
        <v>0</v>
      </c>
    </row>
    <row r="1091" spans="1:12" ht="15.75" hidden="1" thickBot="1" x14ac:dyDescent="0.3">
      <c r="A1091" s="181"/>
      <c r="B1091" s="179"/>
      <c r="C1091" s="20"/>
      <c r="D1091" s="20"/>
      <c r="E1091" s="21"/>
      <c r="F1091" s="22"/>
      <c r="G1091" s="32" t="s">
        <v>1079</v>
      </c>
      <c r="H1091" s="20"/>
      <c r="I1091" s="19" t="str">
        <f>IF(ISNUMBER(G1091),E1091*G1091,"")</f>
        <v/>
      </c>
      <c r="J1091" s="24"/>
      <c r="K1091" s="19"/>
      <c r="L1091" s="174">
        <v>0</v>
      </c>
    </row>
    <row r="1092" spans="1:12" ht="15.75" hidden="1" thickBot="1" x14ac:dyDescent="0.3">
      <c r="A1092" s="181"/>
      <c r="B1092" s="179"/>
      <c r="C1092" s="25" t="s">
        <v>757</v>
      </c>
      <c r="D1092" s="36" t="s">
        <v>588</v>
      </c>
      <c r="E1092" s="26">
        <v>1</v>
      </c>
      <c r="F1092" s="27" t="s">
        <v>747</v>
      </c>
      <c r="G1092" s="23">
        <v>242.09799999999998</v>
      </c>
      <c r="H1092" s="27" t="s">
        <v>758</v>
      </c>
      <c r="I1092" s="23">
        <f>IF(ISNUMBER(G1092),E1092*G1092,"")</f>
        <v>242.09799999999998</v>
      </c>
      <c r="J1092" s="28">
        <f>SUM(I1092:I1096)</f>
        <v>278.83476599999995</v>
      </c>
      <c r="K1092" s="29"/>
      <c r="L1092" s="174">
        <v>0</v>
      </c>
    </row>
    <row r="1093" spans="1:12" ht="26.25" hidden="1" thickBot="1" x14ac:dyDescent="0.3">
      <c r="A1093" s="181"/>
      <c r="B1093" s="179"/>
      <c r="C1093" s="25" t="s">
        <v>742</v>
      </c>
      <c r="D1093" s="36" t="s">
        <v>588</v>
      </c>
      <c r="E1093" s="26">
        <v>2</v>
      </c>
      <c r="F1093" s="27" t="s">
        <v>747</v>
      </c>
      <c r="G1093" s="23">
        <v>12.435499999999999</v>
      </c>
      <c r="H1093" s="27" t="s">
        <v>744</v>
      </c>
      <c r="I1093" s="19">
        <f>IF(ISNUMBER(G1093),E1093*G1093,"")</f>
        <v>24.870999999999999</v>
      </c>
      <c r="J1093" s="24"/>
      <c r="K1093" s="19"/>
      <c r="L1093" s="174">
        <v>0</v>
      </c>
    </row>
    <row r="1094" spans="1:12" ht="15.75" hidden="1" thickBot="1" x14ac:dyDescent="0.3">
      <c r="A1094" s="181"/>
      <c r="B1094" s="179"/>
      <c r="C1094" s="25" t="s">
        <v>748</v>
      </c>
      <c r="D1094" s="36" t="s">
        <v>588</v>
      </c>
      <c r="E1094" s="26">
        <f>0.076-0.0175-0.013</f>
        <v>4.5499999999999999E-2</v>
      </c>
      <c r="F1094" s="27" t="s">
        <v>747</v>
      </c>
      <c r="G1094" s="23">
        <v>2.8974999999999995</v>
      </c>
      <c r="H1094" s="27" t="s">
        <v>749</v>
      </c>
      <c r="I1094" s="19">
        <f>IF(ISNUMBER(G1094),E1094*G1094,"")</f>
        <v>0.13183624999999999</v>
      </c>
      <c r="J1094" s="24"/>
      <c r="K1094" s="19"/>
      <c r="L1094" s="174">
        <v>0</v>
      </c>
    </row>
    <row r="1095" spans="1:12" ht="15.75" hidden="1" thickBot="1" x14ac:dyDescent="0.3">
      <c r="A1095" s="181"/>
      <c r="B1095" s="179"/>
      <c r="C1095" s="25" t="s">
        <v>38</v>
      </c>
      <c r="D1095" s="36" t="s">
        <v>21</v>
      </c>
      <c r="E1095" s="26">
        <f>ROUND(0.3179/2,4)</f>
        <v>0.159</v>
      </c>
      <c r="F1095" s="27" t="s">
        <v>746</v>
      </c>
      <c r="G1095" s="19">
        <v>14.325999999999999</v>
      </c>
      <c r="H1095" s="27" t="s">
        <v>39</v>
      </c>
      <c r="I1095" s="23">
        <f>IF(ISNUMBER(G1095),E1095*G1095,"")</f>
        <v>2.2778339999999999</v>
      </c>
      <c r="J1095" s="24"/>
      <c r="K1095" s="19"/>
      <c r="L1095" s="174">
        <v>0</v>
      </c>
    </row>
    <row r="1096" spans="1:12" ht="15.75" hidden="1" thickBot="1" x14ac:dyDescent="0.3">
      <c r="A1096" s="181"/>
      <c r="B1096" s="179"/>
      <c r="C1096" s="25" t="s">
        <v>70</v>
      </c>
      <c r="D1096" s="36" t="s">
        <v>21</v>
      </c>
      <c r="E1096" s="26">
        <f>1.009/2</f>
        <v>0.50449999999999995</v>
      </c>
      <c r="F1096" s="27" t="s">
        <v>746</v>
      </c>
      <c r="G1096" s="19">
        <v>18.743500000000001</v>
      </c>
      <c r="H1096" s="27" t="s">
        <v>71</v>
      </c>
      <c r="I1096" s="23">
        <f>IF(ISNUMBER(G1096),E1096*G1096,"")</f>
        <v>9.4560957499999994</v>
      </c>
      <c r="J1096" s="24"/>
      <c r="K1096" s="19"/>
      <c r="L1096" s="174">
        <v>0</v>
      </c>
    </row>
    <row r="1097" spans="1:12" ht="15.75" hidden="1" thickBot="1" x14ac:dyDescent="0.3">
      <c r="A1097" s="181"/>
      <c r="B1097" s="179"/>
      <c r="C1097" s="25"/>
      <c r="D1097" s="36"/>
      <c r="E1097" s="26"/>
      <c r="F1097" s="27"/>
      <c r="G1097" s="23" t="s">
        <v>1079</v>
      </c>
      <c r="H1097" s="27"/>
      <c r="I1097" s="23" t="str">
        <f>IF(ISNUMBER(G1097),E1097*G1097,"")</f>
        <v/>
      </c>
      <c r="J1097" s="24"/>
      <c r="K1097" s="19"/>
      <c r="L1097" s="174">
        <v>0</v>
      </c>
    </row>
    <row r="1098" spans="1:12" ht="26.25" hidden="1" thickBot="1" x14ac:dyDescent="0.3">
      <c r="A1098" s="181"/>
      <c r="B1098" s="179"/>
      <c r="C1098" s="44" t="s">
        <v>750</v>
      </c>
      <c r="D1098" s="36"/>
      <c r="E1098" s="26"/>
      <c r="F1098" s="27"/>
      <c r="G1098" s="23" t="s">
        <v>1079</v>
      </c>
      <c r="H1098" s="27"/>
      <c r="I1098" s="23" t="str">
        <f>IF(ISNUMBER(G1098),E1098*G1098,"")</f>
        <v/>
      </c>
      <c r="J1098" s="24"/>
      <c r="K1098" s="19"/>
      <c r="L1098" s="174">
        <v>0</v>
      </c>
    </row>
    <row r="1099" spans="1:12" ht="15.75" hidden="1" thickBot="1" x14ac:dyDescent="0.3">
      <c r="A1099" s="181"/>
      <c r="B1099" s="179"/>
      <c r="C1099" s="25"/>
      <c r="D1099" s="36"/>
      <c r="E1099" s="26"/>
      <c r="F1099" s="27"/>
      <c r="G1099" s="23" t="s">
        <v>1079</v>
      </c>
      <c r="H1099" s="27"/>
      <c r="I1099" s="23" t="str">
        <f>IF(ISNUMBER(G1099),E1099*G1099,"")</f>
        <v/>
      </c>
      <c r="J1099" s="24"/>
      <c r="K1099" s="19"/>
      <c r="L1099" s="174">
        <v>0</v>
      </c>
    </row>
    <row r="1100" spans="1:12" ht="15.75" thickBot="1" x14ac:dyDescent="0.3">
      <c r="A1100" s="288" t="s">
        <v>759</v>
      </c>
      <c r="B1100" s="289" t="str">
        <f>INDEX(Orçamentária!A:B,MATCH(Composições!A1100,Orçamentária!A:A,0),2)</f>
        <v>Tanque 38 litros – Linha Administrativa</v>
      </c>
      <c r="C1100" s="274"/>
      <c r="D1100" s="265" t="str">
        <f>TRIM(INDEX(Orçamentária!C:C,MATCH(Composições!A1100,Orçamentária!A:A,0),1))</f>
        <v>un</v>
      </c>
      <c r="E1100" s="290"/>
      <c r="F1100" s="259" t="s">
        <v>760</v>
      </c>
      <c r="G1100" s="260" t="s">
        <v>1079</v>
      </c>
      <c r="H1100" s="261"/>
      <c r="I1100" s="261" t="str">
        <f>IF(ISNUMBER(G1100),E1100*G1100,"")</f>
        <v/>
      </c>
      <c r="J1100" s="280"/>
      <c r="K1100" s="18"/>
      <c r="L1100" s="174">
        <v>1</v>
      </c>
    </row>
    <row r="1101" spans="1:12" x14ac:dyDescent="0.25">
      <c r="A1101" s="291"/>
      <c r="B1101" s="292"/>
      <c r="C1101" s="155"/>
      <c r="D1101" s="155"/>
      <c r="E1101" s="293"/>
      <c r="F1101" s="294"/>
      <c r="G1101" s="262" t="s">
        <v>1079</v>
      </c>
      <c r="H1101" s="155"/>
      <c r="I1101" s="257" t="str">
        <f>IF(ISNUMBER(G1101),E1101*G1101,"")</f>
        <v/>
      </c>
      <c r="J1101" s="281"/>
      <c r="K1101" s="19"/>
      <c r="L1101" s="174">
        <v>1</v>
      </c>
    </row>
    <row r="1102" spans="1:12" ht="25.5" x14ac:dyDescent="0.25">
      <c r="A1102" s="291"/>
      <c r="B1102" s="292"/>
      <c r="C1102" s="105" t="s">
        <v>761</v>
      </c>
      <c r="D1102" s="271" t="s">
        <v>305</v>
      </c>
      <c r="E1102" s="250">
        <v>1</v>
      </c>
      <c r="F1102" s="176" t="s">
        <v>762</v>
      </c>
      <c r="G1102" s="258">
        <v>354.17</v>
      </c>
      <c r="H1102" s="176" t="s">
        <v>33</v>
      </c>
      <c r="I1102" s="258">
        <f>IF(ISNUMBER(G1102),E1102*G1102,"")</f>
        <v>354.17</v>
      </c>
      <c r="J1102" s="295">
        <f>SUM(I1102:I1106)</f>
        <v>426.34093000000001</v>
      </c>
      <c r="K1102" s="29"/>
      <c r="L1102" s="174">
        <v>1</v>
      </c>
    </row>
    <row r="1103" spans="1:12" ht="25.5" x14ac:dyDescent="0.25">
      <c r="A1103" s="291"/>
      <c r="B1103" s="292"/>
      <c r="C1103" s="105" t="s">
        <v>742</v>
      </c>
      <c r="D1103" s="271" t="s">
        <v>588</v>
      </c>
      <c r="E1103" s="250">
        <v>4</v>
      </c>
      <c r="F1103" s="176" t="s">
        <v>762</v>
      </c>
      <c r="G1103" s="258">
        <v>12.435499999999999</v>
      </c>
      <c r="H1103" s="176" t="s">
        <v>744</v>
      </c>
      <c r="I1103" s="258">
        <f>IF(ISNUMBER(G1103),E1103*G1103,"")</f>
        <v>49.741999999999997</v>
      </c>
      <c r="J1103" s="281"/>
      <c r="K1103" s="19"/>
      <c r="L1103" s="174">
        <v>1</v>
      </c>
    </row>
    <row r="1104" spans="1:12" x14ac:dyDescent="0.25">
      <c r="A1104" s="291"/>
      <c r="B1104" s="292"/>
      <c r="C1104" s="105" t="s">
        <v>524</v>
      </c>
      <c r="D1104" s="271" t="s">
        <v>75</v>
      </c>
      <c r="E1104" s="250">
        <v>6.5000000000000002E-2</v>
      </c>
      <c r="F1104" s="176" t="s">
        <v>762</v>
      </c>
      <c r="G1104" s="258">
        <v>33.667999999999999</v>
      </c>
      <c r="H1104" s="176" t="s">
        <v>525</v>
      </c>
      <c r="I1104" s="258">
        <f>IF(ISNUMBER(G1104),E1104*G1104,"")</f>
        <v>2.1884199999999998</v>
      </c>
      <c r="J1104" s="281"/>
      <c r="K1104" s="19"/>
      <c r="L1104" s="174">
        <v>1</v>
      </c>
    </row>
    <row r="1105" spans="1:12" x14ac:dyDescent="0.25">
      <c r="A1105" s="291"/>
      <c r="B1105" s="292"/>
      <c r="C1105" s="105" t="s">
        <v>70</v>
      </c>
      <c r="D1105" s="271" t="s">
        <v>21</v>
      </c>
      <c r="E1105" s="250">
        <v>0.82</v>
      </c>
      <c r="F1105" s="176" t="s">
        <v>762</v>
      </c>
      <c r="G1105" s="257">
        <v>18.743500000000001</v>
      </c>
      <c r="H1105" s="176" t="s">
        <v>71</v>
      </c>
      <c r="I1105" s="258">
        <f>IF(ISNUMBER(G1105),E1105*G1105,"")</f>
        <v>15.369669999999999</v>
      </c>
      <c r="J1105" s="281"/>
      <c r="K1105" s="19"/>
      <c r="L1105" s="174">
        <v>1</v>
      </c>
    </row>
    <row r="1106" spans="1:12" x14ac:dyDescent="0.25">
      <c r="A1106" s="291"/>
      <c r="B1106" s="292"/>
      <c r="C1106" s="105" t="s">
        <v>38</v>
      </c>
      <c r="D1106" s="271" t="s">
        <v>21</v>
      </c>
      <c r="E1106" s="250">
        <v>0.34</v>
      </c>
      <c r="F1106" s="176" t="s">
        <v>762</v>
      </c>
      <c r="G1106" s="257">
        <v>14.325999999999999</v>
      </c>
      <c r="H1106" s="176" t="s">
        <v>39</v>
      </c>
      <c r="I1106" s="258">
        <f>IF(ISNUMBER(G1106),E1106*G1106,"")</f>
        <v>4.8708400000000003</v>
      </c>
      <c r="J1106" s="281"/>
      <c r="K1106" s="19"/>
      <c r="L1106" s="174">
        <v>1</v>
      </c>
    </row>
    <row r="1107" spans="1:12" ht="15.75" thickBot="1" x14ac:dyDescent="0.3">
      <c r="A1107" s="296"/>
      <c r="B1107" s="297"/>
      <c r="C1107" s="105"/>
      <c r="D1107" s="105"/>
      <c r="E1107" s="250"/>
      <c r="F1107" s="176"/>
      <c r="G1107" s="257" t="s">
        <v>1079</v>
      </c>
      <c r="H1107" s="176"/>
      <c r="I1107" s="257" t="str">
        <f>IF(ISNUMBER(G1107),E1107*G1107,"")</f>
        <v/>
      </c>
      <c r="J1107" s="281"/>
      <c r="K1107" s="19"/>
      <c r="L1107" s="174">
        <v>1</v>
      </c>
    </row>
    <row r="1108" spans="1:12" ht="15.75" thickBot="1" x14ac:dyDescent="0.3">
      <c r="A1108" s="288" t="s">
        <v>763</v>
      </c>
      <c r="B1108" s="289" t="str">
        <f>INDEX(Orçamentária!A:B,MATCH(Composições!A1108,Orçamentária!A:A,0),2)</f>
        <v>Acabamento para registro GD – Linha Administrativa</v>
      </c>
      <c r="C1108" s="274"/>
      <c r="D1108" s="265" t="str">
        <f>TRIM(INDEX(Orçamentária!C:C,MATCH(Composições!A1108,Orçamentária!A:A,0),1))</f>
        <v>un</v>
      </c>
      <c r="E1108" s="290"/>
      <c r="F1108" s="259" t="s">
        <v>764</v>
      </c>
      <c r="G1108" s="260" t="s">
        <v>1079</v>
      </c>
      <c r="H1108" s="261"/>
      <c r="I1108" s="261" t="str">
        <f>IF(ISNUMBER(G1108),E1108*G1108,"")</f>
        <v/>
      </c>
      <c r="J1108" s="280"/>
      <c r="K1108" s="18"/>
      <c r="L1108" s="174">
        <v>4</v>
      </c>
    </row>
    <row r="1109" spans="1:12" x14ac:dyDescent="0.25">
      <c r="A1109" s="291"/>
      <c r="B1109" s="292"/>
      <c r="C1109" s="155"/>
      <c r="D1109" s="155"/>
      <c r="E1109" s="293"/>
      <c r="F1109" s="294"/>
      <c r="G1109" s="262" t="s">
        <v>1079</v>
      </c>
      <c r="H1109" s="155"/>
      <c r="I1109" s="257" t="str">
        <f>IF(ISNUMBER(G1109),E1109*G1109,"")</f>
        <v/>
      </c>
      <c r="J1109" s="281"/>
      <c r="K1109" s="19"/>
      <c r="L1109" s="174">
        <v>4</v>
      </c>
    </row>
    <row r="1110" spans="1:12" ht="25.5" x14ac:dyDescent="0.25">
      <c r="A1110" s="291"/>
      <c r="B1110" s="292"/>
      <c r="C1110" s="105" t="s">
        <v>765</v>
      </c>
      <c r="D1110" s="271" t="s">
        <v>305</v>
      </c>
      <c r="E1110" s="250">
        <v>1</v>
      </c>
      <c r="F1110" s="176" t="s">
        <v>766</v>
      </c>
      <c r="G1110" s="258">
        <v>47.17</v>
      </c>
      <c r="H1110" s="176" t="s">
        <v>33</v>
      </c>
      <c r="I1110" s="258">
        <f>IF(ISNUMBER(G1110),E1110*G1110,"")</f>
        <v>47.17</v>
      </c>
      <c r="J1110" s="295">
        <f>SUM(I1110:I1111)</f>
        <v>48.66948</v>
      </c>
      <c r="K1110" s="29"/>
      <c r="L1110" s="174">
        <v>4</v>
      </c>
    </row>
    <row r="1111" spans="1:12" x14ac:dyDescent="0.25">
      <c r="A1111" s="291"/>
      <c r="B1111" s="292"/>
      <c r="C1111" s="105" t="s">
        <v>70</v>
      </c>
      <c r="D1111" s="271" t="s">
        <v>21</v>
      </c>
      <c r="E1111" s="250">
        <v>0.08</v>
      </c>
      <c r="F1111" s="176" t="s">
        <v>766</v>
      </c>
      <c r="G1111" s="257">
        <v>18.743500000000001</v>
      </c>
      <c r="H1111" s="176" t="s">
        <v>71</v>
      </c>
      <c r="I1111" s="258">
        <f>IF(ISNUMBER(G1111),E1111*G1111,"")</f>
        <v>1.4994800000000001</v>
      </c>
      <c r="J1111" s="281"/>
      <c r="K1111" s="19"/>
      <c r="L1111" s="174">
        <v>4</v>
      </c>
    </row>
    <row r="1112" spans="1:12" ht="15.75" thickBot="1" x14ac:dyDescent="0.3">
      <c r="A1112" s="296"/>
      <c r="B1112" s="297"/>
      <c r="C1112" s="304"/>
      <c r="D1112" s="105"/>
      <c r="E1112" s="250"/>
      <c r="F1112" s="176"/>
      <c r="G1112" s="257" t="s">
        <v>1079</v>
      </c>
      <c r="H1112" s="176"/>
      <c r="I1112" s="257" t="str">
        <f>IF(ISNUMBER(G1112),E1112*G1112,"")</f>
        <v/>
      </c>
      <c r="J1112" s="281"/>
      <c r="K1112" s="19"/>
      <c r="L1112" s="174">
        <v>4</v>
      </c>
    </row>
    <row r="1113" spans="1:12" ht="15.75" hidden="1" thickBot="1" x14ac:dyDescent="0.3">
      <c r="A1113" s="180" t="s">
        <v>767</v>
      </c>
      <c r="B1113" s="178" t="str">
        <f>INDEX(Orçamentária!A:B,MATCH(Composições!A1113,Orçamentária!A:A,0),2)</f>
        <v>Acabamento para registro PQ – Linha Administrativa</v>
      </c>
      <c r="C1113" s="30"/>
      <c r="D1113" s="13" t="str">
        <f>TRIM(INDEX(Orçamentária!C:C,MATCH(Composições!A1113,Orçamentária!A:A,0),1))</f>
        <v>un</v>
      </c>
      <c r="E1113" s="14"/>
      <c r="F1113" s="15" t="s">
        <v>764</v>
      </c>
      <c r="G1113" s="31" t="s">
        <v>1079</v>
      </c>
      <c r="H1113" s="16"/>
      <c r="I1113" s="16" t="str">
        <f>IF(ISNUMBER(G1113),E1113*G1113,"")</f>
        <v/>
      </c>
      <c r="J1113" s="17"/>
      <c r="K1113" s="18"/>
      <c r="L1113" s="174">
        <v>0</v>
      </c>
    </row>
    <row r="1114" spans="1:12" ht="15.75" hidden="1" thickBot="1" x14ac:dyDescent="0.3">
      <c r="A1114" s="181"/>
      <c r="B1114" s="179"/>
      <c r="C1114" s="20"/>
      <c r="D1114" s="20"/>
      <c r="E1114" s="21"/>
      <c r="F1114" s="22"/>
      <c r="G1114" s="32" t="s">
        <v>1079</v>
      </c>
      <c r="H1114" s="20"/>
      <c r="I1114" s="19" t="str">
        <f>IF(ISNUMBER(G1114),E1114*G1114,"")</f>
        <v/>
      </c>
      <c r="J1114" s="24"/>
      <c r="K1114" s="19"/>
      <c r="L1114" s="174">
        <v>0</v>
      </c>
    </row>
    <row r="1115" spans="1:12" ht="26.25" hidden="1" thickBot="1" x14ac:dyDescent="0.3">
      <c r="A1115" s="181"/>
      <c r="B1115" s="179"/>
      <c r="C1115" s="25" t="s">
        <v>768</v>
      </c>
      <c r="D1115" s="36" t="s">
        <v>305</v>
      </c>
      <c r="E1115" s="26">
        <v>1</v>
      </c>
      <c r="F1115" s="27" t="s">
        <v>766</v>
      </c>
      <c r="G1115" s="23" t="s">
        <v>1079</v>
      </c>
      <c r="H1115" s="27" t="s">
        <v>33</v>
      </c>
      <c r="I1115" s="23" t="str">
        <f>IF(ISNUMBER(G1115),E1115*G1115,"")</f>
        <v/>
      </c>
      <c r="J1115" s="28">
        <f>SUM(I1115:I1116)</f>
        <v>1.4994800000000001</v>
      </c>
      <c r="K1115" s="29"/>
      <c r="L1115" s="174">
        <v>0</v>
      </c>
    </row>
    <row r="1116" spans="1:12" ht="15.75" hidden="1" thickBot="1" x14ac:dyDescent="0.3">
      <c r="A1116" s="181"/>
      <c r="B1116" s="179"/>
      <c r="C1116" s="25" t="s">
        <v>70</v>
      </c>
      <c r="D1116" s="36" t="s">
        <v>21</v>
      </c>
      <c r="E1116" s="26">
        <v>0.08</v>
      </c>
      <c r="F1116" s="27" t="s">
        <v>766</v>
      </c>
      <c r="G1116" s="19">
        <v>18.743500000000001</v>
      </c>
      <c r="H1116" s="27" t="s">
        <v>71</v>
      </c>
      <c r="I1116" s="23">
        <f>IF(ISNUMBER(G1116),E1116*G1116,"")</f>
        <v>1.4994800000000001</v>
      </c>
      <c r="J1116" s="24"/>
      <c r="K1116" s="19"/>
      <c r="L1116" s="174">
        <v>0</v>
      </c>
    </row>
    <row r="1117" spans="1:12" ht="15.75" hidden="1" thickBot="1" x14ac:dyDescent="0.3">
      <c r="A1117" s="182"/>
      <c r="B1117" s="183"/>
      <c r="C1117" s="25"/>
      <c r="D1117" s="25"/>
      <c r="E1117" s="26"/>
      <c r="F1117" s="27"/>
      <c r="G1117" s="19" t="s">
        <v>1079</v>
      </c>
      <c r="H1117" s="27"/>
      <c r="I1117" s="19" t="str">
        <f>IF(ISNUMBER(G1117),E1117*G1117,"")</f>
        <v/>
      </c>
      <c r="J1117" s="24"/>
      <c r="K1117" s="19"/>
      <c r="L1117" s="174">
        <v>0</v>
      </c>
    </row>
    <row r="1118" spans="1:12" ht="15.75" hidden="1" thickBot="1" x14ac:dyDescent="0.3">
      <c r="A1118" s="180" t="s">
        <v>769</v>
      </c>
      <c r="B1118" s="178" t="str">
        <f>INDEX(Orçamentária!A:B,MATCH(Composições!A1118,Orçamentária!A:A,0),2)</f>
        <v>Ducha higiênica – Linha Administrativa</v>
      </c>
      <c r="C1118" s="30"/>
      <c r="D1118" s="13" t="str">
        <f>TRIM(INDEX(Orçamentária!C:C,MATCH(Composições!A1118,Orçamentária!A:A,0),1))</f>
        <v>un</v>
      </c>
      <c r="E1118" s="14"/>
      <c r="F1118" s="15" t="s">
        <v>770</v>
      </c>
      <c r="G1118" s="31" t="s">
        <v>1079</v>
      </c>
      <c r="H1118" s="16"/>
      <c r="I1118" s="16" t="str">
        <f>IF(ISNUMBER(G1118),E1118*G1118,"")</f>
        <v/>
      </c>
      <c r="J1118" s="17"/>
      <c r="K1118" s="18"/>
      <c r="L1118" s="174">
        <v>0</v>
      </c>
    </row>
    <row r="1119" spans="1:12" ht="15.75" hidden="1" thickBot="1" x14ac:dyDescent="0.3">
      <c r="A1119" s="181"/>
      <c r="B1119" s="179"/>
      <c r="C1119" s="20"/>
      <c r="D1119" s="20"/>
      <c r="E1119" s="21"/>
      <c r="F1119" s="22"/>
      <c r="G1119" s="32" t="s">
        <v>1079</v>
      </c>
      <c r="H1119" s="20"/>
      <c r="I1119" s="19" t="str">
        <f>IF(ISNUMBER(G1119),E1119*G1119,"")</f>
        <v/>
      </c>
      <c r="J1119" s="24"/>
      <c r="K1119" s="19"/>
      <c r="L1119" s="174">
        <v>0</v>
      </c>
    </row>
    <row r="1120" spans="1:12" ht="26.25" hidden="1" thickBot="1" x14ac:dyDescent="0.3">
      <c r="A1120" s="181"/>
      <c r="B1120" s="179"/>
      <c r="C1120" s="25" t="s">
        <v>771</v>
      </c>
      <c r="D1120" s="36" t="s">
        <v>305</v>
      </c>
      <c r="E1120" s="26">
        <v>1</v>
      </c>
      <c r="F1120" s="27" t="s">
        <v>772</v>
      </c>
      <c r="G1120" s="23" t="s">
        <v>1079</v>
      </c>
      <c r="H1120" s="27" t="s">
        <v>33</v>
      </c>
      <c r="I1120" s="23" t="str">
        <f>IF(ISNUMBER(G1120),E1120*G1120,"")</f>
        <v/>
      </c>
      <c r="J1120" s="28">
        <f>SUM(I1120:I1122)</f>
        <v>16.758000000000003</v>
      </c>
      <c r="K1120" s="29"/>
      <c r="L1120" s="174">
        <v>0</v>
      </c>
    </row>
    <row r="1121" spans="1:12" ht="15.75" hidden="1" thickBot="1" x14ac:dyDescent="0.3">
      <c r="A1121" s="181"/>
      <c r="B1121" s="179"/>
      <c r="C1121" s="25" t="s">
        <v>70</v>
      </c>
      <c r="D1121" s="36" t="s">
        <v>21</v>
      </c>
      <c r="E1121" s="26">
        <v>0.5</v>
      </c>
      <c r="F1121" s="27" t="s">
        <v>772</v>
      </c>
      <c r="G1121" s="19">
        <v>18.743500000000001</v>
      </c>
      <c r="H1121" s="27" t="s">
        <v>71</v>
      </c>
      <c r="I1121" s="23">
        <f>IF(ISNUMBER(G1121),E1121*G1121,"")</f>
        <v>9.3717500000000005</v>
      </c>
      <c r="J1121" s="24"/>
      <c r="K1121" s="19"/>
      <c r="L1121" s="174">
        <v>0</v>
      </c>
    </row>
    <row r="1122" spans="1:12" ht="26.25" hidden="1" thickBot="1" x14ac:dyDescent="0.3">
      <c r="A1122" s="181"/>
      <c r="B1122" s="179"/>
      <c r="C1122" s="25" t="s">
        <v>224</v>
      </c>
      <c r="D1122" s="36" t="s">
        <v>21</v>
      </c>
      <c r="E1122" s="26">
        <v>0.5</v>
      </c>
      <c r="F1122" s="27" t="s">
        <v>772</v>
      </c>
      <c r="G1122" s="19">
        <v>14.772500000000001</v>
      </c>
      <c r="H1122" s="27" t="s">
        <v>226</v>
      </c>
      <c r="I1122" s="23">
        <f>IF(ISNUMBER(G1122),E1122*G1122,"")</f>
        <v>7.3862500000000004</v>
      </c>
      <c r="J1122" s="24"/>
      <c r="K1122" s="19"/>
      <c r="L1122" s="174">
        <v>0</v>
      </c>
    </row>
    <row r="1123" spans="1:12" ht="15.75" hidden="1" thickBot="1" x14ac:dyDescent="0.3">
      <c r="A1123" s="182"/>
      <c r="B1123" s="183"/>
      <c r="C1123" s="25"/>
      <c r="D1123" s="25"/>
      <c r="E1123" s="26"/>
      <c r="F1123" s="27"/>
      <c r="G1123" s="19" t="s">
        <v>1079</v>
      </c>
      <c r="H1123" s="27"/>
      <c r="I1123" s="19" t="str">
        <f>IF(ISNUMBER(G1123),E1123*G1123,"")</f>
        <v/>
      </c>
      <c r="J1123" s="24"/>
      <c r="K1123" s="19"/>
      <c r="L1123" s="174">
        <v>0</v>
      </c>
    </row>
    <row r="1124" spans="1:12" ht="15.75" hidden="1" thickBot="1" x14ac:dyDescent="0.3">
      <c r="A1124" s="180" t="s">
        <v>773</v>
      </c>
      <c r="B1124" s="178" t="str">
        <f>INDEX(Orçamentária!A:B,MATCH(Composições!A1124,Orçamentária!A:A,0),2)</f>
        <v>Instalação de metais e acessórios reaproveitados</v>
      </c>
      <c r="C1124" s="30"/>
      <c r="D1124" s="13" t="str">
        <f>TRIM(INDEX(Orçamentária!C:C,MATCH(Composições!A1124,Orçamentária!A:A,0),1))</f>
        <v>un</v>
      </c>
      <c r="E1124" s="14"/>
      <c r="F1124" s="15" t="s">
        <v>774</v>
      </c>
      <c r="G1124" s="31" t="s">
        <v>1079</v>
      </c>
      <c r="H1124" s="16"/>
      <c r="I1124" s="16" t="str">
        <f>IF(ISNUMBER(G1124),E1124*G1124,"")</f>
        <v/>
      </c>
      <c r="J1124" s="17"/>
      <c r="K1124" s="18"/>
      <c r="L1124" s="174">
        <v>0</v>
      </c>
    </row>
    <row r="1125" spans="1:12" ht="15.75" hidden="1" thickBot="1" x14ac:dyDescent="0.3">
      <c r="A1125" s="181"/>
      <c r="B1125" s="179"/>
      <c r="C1125" s="20"/>
      <c r="D1125" s="20"/>
      <c r="E1125" s="21"/>
      <c r="F1125" s="22"/>
      <c r="G1125" s="32" t="s">
        <v>1079</v>
      </c>
      <c r="H1125" s="20"/>
      <c r="I1125" s="19" t="str">
        <f>IF(ISNUMBER(G1125),E1125*G1125,"")</f>
        <v/>
      </c>
      <c r="J1125" s="24"/>
      <c r="K1125" s="19"/>
      <c r="L1125" s="174">
        <v>0</v>
      </c>
    </row>
    <row r="1126" spans="1:12" ht="15.75" hidden="1" thickBot="1" x14ac:dyDescent="0.3">
      <c r="A1126" s="181"/>
      <c r="B1126" s="179"/>
      <c r="C1126" s="25" t="s">
        <v>70</v>
      </c>
      <c r="D1126" s="36" t="s">
        <v>21</v>
      </c>
      <c r="E1126" s="26">
        <v>0.16209999999999999</v>
      </c>
      <c r="F1126" s="27" t="s">
        <v>774</v>
      </c>
      <c r="G1126" s="19">
        <v>18.743500000000001</v>
      </c>
      <c r="H1126" s="27" t="s">
        <v>71</v>
      </c>
      <c r="I1126" s="23">
        <f>IF(ISNUMBER(G1126),E1126*G1126,"")</f>
        <v>3.0383213499999999</v>
      </c>
      <c r="J1126" s="28">
        <f>SUM(I1126:I1127)</f>
        <v>3.3736571</v>
      </c>
      <c r="K1126" s="29"/>
      <c r="L1126" s="174">
        <v>0</v>
      </c>
    </row>
    <row r="1127" spans="1:12" ht="26.25" hidden="1" thickBot="1" x14ac:dyDescent="0.3">
      <c r="A1127" s="181"/>
      <c r="B1127" s="179"/>
      <c r="C1127" s="25" t="s">
        <v>224</v>
      </c>
      <c r="D1127" s="36" t="s">
        <v>21</v>
      </c>
      <c r="E1127" s="26">
        <v>2.2700000000000001E-2</v>
      </c>
      <c r="F1127" s="27" t="s">
        <v>774</v>
      </c>
      <c r="G1127" s="19">
        <v>14.772500000000001</v>
      </c>
      <c r="H1127" s="27" t="s">
        <v>226</v>
      </c>
      <c r="I1127" s="23">
        <f>IF(ISNUMBER(G1127),E1127*G1127,"")</f>
        <v>0.33533575000000004</v>
      </c>
      <c r="J1127" s="34"/>
      <c r="K1127" s="35"/>
      <c r="L1127" s="174">
        <v>0</v>
      </c>
    </row>
    <row r="1128" spans="1:12" ht="15.75" hidden="1" thickBot="1" x14ac:dyDescent="0.3">
      <c r="A1128" s="182"/>
      <c r="B1128" s="183"/>
      <c r="C1128" s="25"/>
      <c r="D1128" s="25"/>
      <c r="E1128" s="26"/>
      <c r="F1128" s="27"/>
      <c r="G1128" s="19" t="s">
        <v>1079</v>
      </c>
      <c r="H1128" s="27"/>
      <c r="I1128" s="19" t="str">
        <f>IF(ISNUMBER(G1128),E1128*G1128,"")</f>
        <v/>
      </c>
      <c r="J1128" s="24"/>
      <c r="K1128" s="19"/>
      <c r="L1128" s="174">
        <v>0</v>
      </c>
    </row>
    <row r="1129" spans="1:12" ht="15.75" thickBot="1" x14ac:dyDescent="0.3">
      <c r="A1129" s="288" t="s">
        <v>775</v>
      </c>
      <c r="B1129" s="289" t="str">
        <f>INDEX(Orçamentária!A:B,MATCH(Composições!A1129,Orçamentária!A:A,0),2)</f>
        <v>Ligação flexível 1/2” x 40 cm – Linha Administrativa</v>
      </c>
      <c r="C1129" s="274"/>
      <c r="D1129" s="265" t="str">
        <f>TRIM(INDEX(Orçamentária!C:C,MATCH(Composições!A1129,Orçamentária!A:A,0),1))</f>
        <v>un</v>
      </c>
      <c r="E1129" s="290"/>
      <c r="F1129" s="259" t="s">
        <v>776</v>
      </c>
      <c r="G1129" s="260" t="s">
        <v>1079</v>
      </c>
      <c r="H1129" s="261"/>
      <c r="I1129" s="261" t="str">
        <f>IF(ISNUMBER(G1129),E1129*G1129,"")</f>
        <v/>
      </c>
      <c r="J1129" s="280"/>
      <c r="K1129" s="18"/>
      <c r="L1129" s="174">
        <v>4</v>
      </c>
    </row>
    <row r="1130" spans="1:12" x14ac:dyDescent="0.25">
      <c r="A1130" s="291"/>
      <c r="B1130" s="292"/>
      <c r="C1130" s="155"/>
      <c r="D1130" s="155"/>
      <c r="E1130" s="293"/>
      <c r="F1130" s="294"/>
      <c r="G1130" s="262" t="s">
        <v>1079</v>
      </c>
      <c r="H1130" s="155"/>
      <c r="I1130" s="257" t="str">
        <f>IF(ISNUMBER(G1130),E1130*G1130,"")</f>
        <v/>
      </c>
      <c r="J1130" s="281"/>
      <c r="K1130" s="19"/>
      <c r="L1130" s="174">
        <v>4</v>
      </c>
    </row>
    <row r="1131" spans="1:12" x14ac:dyDescent="0.25">
      <c r="A1131" s="291"/>
      <c r="B1131" s="292"/>
      <c r="C1131" s="105" t="s">
        <v>777</v>
      </c>
      <c r="D1131" s="271" t="s">
        <v>588</v>
      </c>
      <c r="E1131" s="250">
        <v>1</v>
      </c>
      <c r="F1131" s="176" t="s">
        <v>776</v>
      </c>
      <c r="G1131" s="258">
        <v>27.549999999999997</v>
      </c>
      <c r="H1131" s="176" t="s">
        <v>778</v>
      </c>
      <c r="I1131" s="258">
        <f>IF(ISNUMBER(G1131),E1131*G1131,"")</f>
        <v>27.549999999999997</v>
      </c>
      <c r="J1131" s="295">
        <f>SUM(I1131:I1134)</f>
        <v>31.128531249999998</v>
      </c>
      <c r="K1131" s="29"/>
      <c r="L1131" s="174">
        <v>4</v>
      </c>
    </row>
    <row r="1132" spans="1:12" x14ac:dyDescent="0.25">
      <c r="A1132" s="291"/>
      <c r="B1132" s="292"/>
      <c r="C1132" s="105" t="s">
        <v>748</v>
      </c>
      <c r="D1132" s="271" t="s">
        <v>588</v>
      </c>
      <c r="E1132" s="250">
        <v>1.7500000000000002E-2</v>
      </c>
      <c r="F1132" s="176" t="s">
        <v>776</v>
      </c>
      <c r="G1132" s="258">
        <v>2.8974999999999995</v>
      </c>
      <c r="H1132" s="176" t="s">
        <v>749</v>
      </c>
      <c r="I1132" s="258">
        <f>IF(ISNUMBER(G1132),E1132*G1132,"")</f>
        <v>5.0706249999999994E-2</v>
      </c>
      <c r="J1132" s="281"/>
      <c r="K1132" s="19"/>
      <c r="L1132" s="174">
        <v>4</v>
      </c>
    </row>
    <row r="1133" spans="1:12" x14ac:dyDescent="0.25">
      <c r="A1133" s="291"/>
      <c r="B1133" s="292"/>
      <c r="C1133" s="105" t="s">
        <v>70</v>
      </c>
      <c r="D1133" s="271" t="s">
        <v>21</v>
      </c>
      <c r="E1133" s="250">
        <v>0.15</v>
      </c>
      <c r="F1133" s="176" t="s">
        <v>776</v>
      </c>
      <c r="G1133" s="257">
        <v>18.743500000000001</v>
      </c>
      <c r="H1133" s="176" t="s">
        <v>71</v>
      </c>
      <c r="I1133" s="258">
        <f>IF(ISNUMBER(G1133),E1133*G1133,"")</f>
        <v>2.8115250000000001</v>
      </c>
      <c r="J1133" s="281"/>
      <c r="K1133" s="19"/>
      <c r="L1133" s="174">
        <v>4</v>
      </c>
    </row>
    <row r="1134" spans="1:12" x14ac:dyDescent="0.25">
      <c r="A1134" s="291"/>
      <c r="B1134" s="292"/>
      <c r="C1134" s="105" t="s">
        <v>38</v>
      </c>
      <c r="D1134" s="271" t="s">
        <v>21</v>
      </c>
      <c r="E1134" s="250">
        <v>0.05</v>
      </c>
      <c r="F1134" s="176" t="s">
        <v>776</v>
      </c>
      <c r="G1134" s="257">
        <v>14.325999999999999</v>
      </c>
      <c r="H1134" s="176" t="s">
        <v>39</v>
      </c>
      <c r="I1134" s="258">
        <f>IF(ISNUMBER(G1134),E1134*G1134,"")</f>
        <v>0.71629999999999994</v>
      </c>
      <c r="J1134" s="281"/>
      <c r="K1134" s="19"/>
      <c r="L1134" s="174">
        <v>4</v>
      </c>
    </row>
    <row r="1135" spans="1:12" ht="15.75" thickBot="1" x14ac:dyDescent="0.3">
      <c r="A1135" s="296"/>
      <c r="B1135" s="297"/>
      <c r="C1135" s="105"/>
      <c r="D1135" s="105"/>
      <c r="E1135" s="250"/>
      <c r="F1135" s="176"/>
      <c r="G1135" s="257" t="s">
        <v>1079</v>
      </c>
      <c r="H1135" s="176"/>
      <c r="I1135" s="257" t="str">
        <f>IF(ISNUMBER(G1135),E1135*G1135,"")</f>
        <v/>
      </c>
      <c r="J1135" s="281"/>
      <c r="K1135" s="19"/>
      <c r="L1135" s="174">
        <v>4</v>
      </c>
    </row>
    <row r="1136" spans="1:12" ht="15.75" hidden="1" thickBot="1" x14ac:dyDescent="0.3">
      <c r="A1136" s="180" t="s">
        <v>779</v>
      </c>
      <c r="B1136" s="178" t="str">
        <f>INDEX(Orçamentária!A:B,MATCH(Composições!A1136,Orçamentária!A:A,0),2)</f>
        <v>Sifão articulado para cozinha – Linha Administrativa</v>
      </c>
      <c r="C1136" s="30"/>
      <c r="D1136" s="13" t="str">
        <f>TRIM(INDEX(Orçamentária!C:C,MATCH(Composições!A1136,Orçamentária!A:A,0),1))</f>
        <v>un</v>
      </c>
      <c r="E1136" s="14"/>
      <c r="F1136" s="15" t="s">
        <v>780</v>
      </c>
      <c r="G1136" s="31" t="s">
        <v>1079</v>
      </c>
      <c r="H1136" s="16"/>
      <c r="I1136" s="16" t="str">
        <f>IF(ISNUMBER(G1136),E1136*G1136,"")</f>
        <v/>
      </c>
      <c r="J1136" s="17"/>
      <c r="K1136" s="18"/>
      <c r="L1136" s="174">
        <v>0</v>
      </c>
    </row>
    <row r="1137" spans="1:12" ht="15.75" hidden="1" thickBot="1" x14ac:dyDescent="0.3">
      <c r="A1137" s="181"/>
      <c r="B1137" s="179"/>
      <c r="C1137" s="20"/>
      <c r="D1137" s="20"/>
      <c r="E1137" s="21"/>
      <c r="F1137" s="22"/>
      <c r="G1137" s="32" t="s">
        <v>1079</v>
      </c>
      <c r="H1137" s="20"/>
      <c r="I1137" s="19" t="str">
        <f>IF(ISNUMBER(G1137),E1137*G1137,"")</f>
        <v/>
      </c>
      <c r="J1137" s="24"/>
      <c r="K1137" s="19"/>
      <c r="L1137" s="174">
        <v>0</v>
      </c>
    </row>
    <row r="1138" spans="1:12" ht="26.25" hidden="1" thickBot="1" x14ac:dyDescent="0.3">
      <c r="A1138" s="181"/>
      <c r="B1138" s="179"/>
      <c r="C1138" s="25" t="s">
        <v>781</v>
      </c>
      <c r="D1138" s="36" t="s">
        <v>305</v>
      </c>
      <c r="E1138" s="26">
        <v>1</v>
      </c>
      <c r="F1138" s="27" t="s">
        <v>782</v>
      </c>
      <c r="G1138" s="23" t="s">
        <v>1079</v>
      </c>
      <c r="H1138" s="27" t="s">
        <v>33</v>
      </c>
      <c r="I1138" s="23" t="str">
        <f>IF(ISNUMBER(G1138),E1138*G1138,"")</f>
        <v/>
      </c>
      <c r="J1138" s="28">
        <f>SUM(I1138:I1141)</f>
        <v>6.4949600000000007</v>
      </c>
      <c r="K1138" s="29"/>
      <c r="L1138" s="174">
        <v>0</v>
      </c>
    </row>
    <row r="1139" spans="1:12" ht="15.75" hidden="1" thickBot="1" x14ac:dyDescent="0.3">
      <c r="A1139" s="181"/>
      <c r="B1139" s="179"/>
      <c r="C1139" s="25" t="s">
        <v>748</v>
      </c>
      <c r="D1139" s="36" t="s">
        <v>588</v>
      </c>
      <c r="E1139" s="26">
        <v>0.05</v>
      </c>
      <c r="F1139" s="27" t="s">
        <v>782</v>
      </c>
      <c r="G1139" s="23">
        <v>2.8974999999999995</v>
      </c>
      <c r="H1139" s="27" t="s">
        <v>749</v>
      </c>
      <c r="I1139" s="23">
        <f>IF(ISNUMBER(G1139),E1139*G1139,"")</f>
        <v>0.14487499999999998</v>
      </c>
      <c r="J1139" s="24"/>
      <c r="K1139" s="19"/>
      <c r="L1139" s="174">
        <v>0</v>
      </c>
    </row>
    <row r="1140" spans="1:12" ht="15.75" hidden="1" thickBot="1" x14ac:dyDescent="0.3">
      <c r="A1140" s="181"/>
      <c r="B1140" s="179"/>
      <c r="C1140" s="25" t="s">
        <v>38</v>
      </c>
      <c r="D1140" s="36" t="s">
        <v>21</v>
      </c>
      <c r="E1140" s="26">
        <v>0.09</v>
      </c>
      <c r="F1140" s="27" t="s">
        <v>782</v>
      </c>
      <c r="G1140" s="19">
        <v>14.325999999999999</v>
      </c>
      <c r="H1140" s="27" t="s">
        <v>39</v>
      </c>
      <c r="I1140" s="23">
        <f>IF(ISNUMBER(G1140),E1140*G1140,"")</f>
        <v>1.2893399999999999</v>
      </c>
      <c r="J1140" s="24"/>
      <c r="K1140" s="19"/>
      <c r="L1140" s="174">
        <v>0</v>
      </c>
    </row>
    <row r="1141" spans="1:12" ht="15.75" hidden="1" thickBot="1" x14ac:dyDescent="0.3">
      <c r="A1141" s="181"/>
      <c r="B1141" s="179"/>
      <c r="C1141" s="25" t="s">
        <v>70</v>
      </c>
      <c r="D1141" s="36" t="s">
        <v>21</v>
      </c>
      <c r="E1141" s="26">
        <v>0.27</v>
      </c>
      <c r="F1141" s="27" t="s">
        <v>782</v>
      </c>
      <c r="G1141" s="19">
        <v>18.743500000000001</v>
      </c>
      <c r="H1141" s="27" t="s">
        <v>71</v>
      </c>
      <c r="I1141" s="23">
        <f>IF(ISNUMBER(G1141),E1141*G1141,"")</f>
        <v>5.0607450000000007</v>
      </c>
      <c r="J1141" s="24"/>
      <c r="K1141" s="19"/>
      <c r="L1141" s="174">
        <v>0</v>
      </c>
    </row>
    <row r="1142" spans="1:12" ht="15.75" hidden="1" thickBot="1" x14ac:dyDescent="0.3">
      <c r="A1142" s="182"/>
      <c r="B1142" s="183"/>
      <c r="C1142" s="25"/>
      <c r="D1142" s="25"/>
      <c r="E1142" s="26"/>
      <c r="F1142" s="27"/>
      <c r="G1142" s="19" t="s">
        <v>1079</v>
      </c>
      <c r="H1142" s="27"/>
      <c r="I1142" s="19" t="str">
        <f>IF(ISNUMBER(G1142),E1142*G1142,"")</f>
        <v/>
      </c>
      <c r="J1142" s="24"/>
      <c r="K1142" s="19"/>
      <c r="L1142" s="174">
        <v>0</v>
      </c>
    </row>
    <row r="1143" spans="1:12" ht="15.75" hidden="1" thickBot="1" x14ac:dyDescent="0.3">
      <c r="A1143" s="180" t="s">
        <v>783</v>
      </c>
      <c r="B1143" s="178" t="str">
        <f>INDEX(Orçamentária!A:B,MATCH(Composições!A1143,Orçamentária!A:A,0),2)</f>
        <v>Sifão para lavatório 1 1/2"</v>
      </c>
      <c r="C1143" s="30"/>
      <c r="D1143" s="13" t="str">
        <f>TRIM(INDEX(Orçamentária!C:C,MATCH(Composições!A1143,Orçamentária!A:A,0),1))</f>
        <v>un</v>
      </c>
      <c r="E1143" s="14"/>
      <c r="F1143" s="15" t="s">
        <v>782</v>
      </c>
      <c r="G1143" s="31" t="s">
        <v>1079</v>
      </c>
      <c r="H1143" s="16"/>
      <c r="I1143" s="16" t="str">
        <f>IF(ISNUMBER(G1143),E1143*G1143,"")</f>
        <v/>
      </c>
      <c r="J1143" s="17"/>
      <c r="K1143" s="18"/>
      <c r="L1143" s="174">
        <v>0</v>
      </c>
    </row>
    <row r="1144" spans="1:12" ht="15.75" hidden="1" thickBot="1" x14ac:dyDescent="0.3">
      <c r="A1144" s="181"/>
      <c r="B1144" s="179"/>
      <c r="C1144" s="20"/>
      <c r="D1144" s="20"/>
      <c r="E1144" s="21"/>
      <c r="F1144" s="22"/>
      <c r="G1144" s="32" t="s">
        <v>1079</v>
      </c>
      <c r="H1144" s="20"/>
      <c r="I1144" s="19" t="str">
        <f>IF(ISNUMBER(G1144),E1144*G1144,"")</f>
        <v/>
      </c>
      <c r="J1144" s="24"/>
      <c r="K1144" s="19"/>
      <c r="L1144" s="174">
        <v>0</v>
      </c>
    </row>
    <row r="1145" spans="1:12" ht="15.75" hidden="1" thickBot="1" x14ac:dyDescent="0.3">
      <c r="A1145" s="181"/>
      <c r="B1145" s="179"/>
      <c r="C1145" s="25" t="s">
        <v>784</v>
      </c>
      <c r="D1145" s="36" t="s">
        <v>588</v>
      </c>
      <c r="E1145" s="26">
        <v>1</v>
      </c>
      <c r="F1145" s="27" t="s">
        <v>782</v>
      </c>
      <c r="G1145" s="23">
        <v>109.7535</v>
      </c>
      <c r="H1145" s="27" t="s">
        <v>785</v>
      </c>
      <c r="I1145" s="23">
        <f>IF(ISNUMBER(G1145),E1145*G1145,"")</f>
        <v>109.7535</v>
      </c>
      <c r="J1145" s="28">
        <f>SUM(I1145:I1148)</f>
        <v>116.24845999999999</v>
      </c>
      <c r="K1145" s="29"/>
      <c r="L1145" s="174">
        <v>0</v>
      </c>
    </row>
    <row r="1146" spans="1:12" ht="15.75" hidden="1" thickBot="1" x14ac:dyDescent="0.3">
      <c r="A1146" s="181"/>
      <c r="B1146" s="179"/>
      <c r="C1146" s="25" t="s">
        <v>748</v>
      </c>
      <c r="D1146" s="36" t="s">
        <v>588</v>
      </c>
      <c r="E1146" s="26">
        <v>0.05</v>
      </c>
      <c r="F1146" s="27" t="s">
        <v>782</v>
      </c>
      <c r="G1146" s="23">
        <v>2.8974999999999995</v>
      </c>
      <c r="H1146" s="27" t="s">
        <v>749</v>
      </c>
      <c r="I1146" s="23">
        <f>IF(ISNUMBER(G1146),E1146*G1146,"")</f>
        <v>0.14487499999999998</v>
      </c>
      <c r="J1146" s="24"/>
      <c r="K1146" s="19"/>
      <c r="L1146" s="174">
        <v>0</v>
      </c>
    </row>
    <row r="1147" spans="1:12" ht="15.75" hidden="1" thickBot="1" x14ac:dyDescent="0.3">
      <c r="A1147" s="181"/>
      <c r="B1147" s="179"/>
      <c r="C1147" s="25" t="s">
        <v>70</v>
      </c>
      <c r="D1147" s="36" t="s">
        <v>21</v>
      </c>
      <c r="E1147" s="26">
        <v>0.27</v>
      </c>
      <c r="F1147" s="27" t="s">
        <v>782</v>
      </c>
      <c r="G1147" s="19">
        <v>18.743500000000001</v>
      </c>
      <c r="H1147" s="27" t="s">
        <v>71</v>
      </c>
      <c r="I1147" s="23">
        <f>IF(ISNUMBER(G1147),E1147*G1147,"")</f>
        <v>5.0607450000000007</v>
      </c>
      <c r="J1147" s="24"/>
      <c r="K1147" s="19"/>
      <c r="L1147" s="174">
        <v>0</v>
      </c>
    </row>
    <row r="1148" spans="1:12" ht="15.75" hidden="1" thickBot="1" x14ac:dyDescent="0.3">
      <c r="A1148" s="181"/>
      <c r="B1148" s="179"/>
      <c r="C1148" s="25" t="s">
        <v>38</v>
      </c>
      <c r="D1148" s="36" t="s">
        <v>21</v>
      </c>
      <c r="E1148" s="26">
        <v>0.09</v>
      </c>
      <c r="F1148" s="27" t="s">
        <v>782</v>
      </c>
      <c r="G1148" s="19">
        <v>14.325999999999999</v>
      </c>
      <c r="H1148" s="27" t="s">
        <v>39</v>
      </c>
      <c r="I1148" s="23">
        <f>IF(ISNUMBER(G1148),E1148*G1148,"")</f>
        <v>1.2893399999999999</v>
      </c>
      <c r="J1148" s="24"/>
      <c r="K1148" s="19"/>
      <c r="L1148" s="174">
        <v>0</v>
      </c>
    </row>
    <row r="1149" spans="1:12" ht="15.75" hidden="1" thickBot="1" x14ac:dyDescent="0.3">
      <c r="A1149" s="182"/>
      <c r="B1149" s="183"/>
      <c r="C1149" s="25"/>
      <c r="D1149" s="25"/>
      <c r="E1149" s="26"/>
      <c r="F1149" s="27"/>
      <c r="G1149" s="19" t="s">
        <v>1079</v>
      </c>
      <c r="H1149" s="27"/>
      <c r="I1149" s="19" t="str">
        <f>IF(ISNUMBER(G1149),E1149*G1149,"")</f>
        <v/>
      </c>
      <c r="J1149" s="24"/>
      <c r="K1149" s="19"/>
      <c r="L1149" s="174">
        <v>0</v>
      </c>
    </row>
    <row r="1150" spans="1:12" ht="15.75" thickBot="1" x14ac:dyDescent="0.3">
      <c r="A1150" s="288" t="s">
        <v>786</v>
      </c>
      <c r="B1150" s="289" t="str">
        <f>INDEX(Orçamentária!A:B,MATCH(Composições!A1150,Orçamentária!A:A,0),2)</f>
        <v>Sifão para tanque – Linha Administrativa</v>
      </c>
      <c r="C1150" s="274"/>
      <c r="D1150" s="265" t="str">
        <f>TRIM(INDEX(Orçamentária!C:C,MATCH(Composições!A1150,Orçamentária!A:A,0),1))</f>
        <v>un</v>
      </c>
      <c r="E1150" s="290"/>
      <c r="F1150" s="259" t="s">
        <v>780</v>
      </c>
      <c r="G1150" s="260" t="s">
        <v>1079</v>
      </c>
      <c r="H1150" s="261"/>
      <c r="I1150" s="261" t="str">
        <f>IF(ISNUMBER(G1150),E1150*G1150,"")</f>
        <v/>
      </c>
      <c r="J1150" s="280"/>
      <c r="K1150" s="18"/>
      <c r="L1150" s="174">
        <v>2</v>
      </c>
    </row>
    <row r="1151" spans="1:12" x14ac:dyDescent="0.25">
      <c r="A1151" s="291"/>
      <c r="B1151" s="292"/>
      <c r="C1151" s="155"/>
      <c r="D1151" s="155"/>
      <c r="E1151" s="293"/>
      <c r="F1151" s="294"/>
      <c r="G1151" s="262" t="s">
        <v>1079</v>
      </c>
      <c r="H1151" s="155"/>
      <c r="I1151" s="257" t="str">
        <f>IF(ISNUMBER(G1151),E1151*G1151,"")</f>
        <v/>
      </c>
      <c r="J1151" s="281"/>
      <c r="K1151" s="19"/>
      <c r="L1151" s="174">
        <v>2</v>
      </c>
    </row>
    <row r="1152" spans="1:12" x14ac:dyDescent="0.25">
      <c r="A1152" s="291"/>
      <c r="B1152" s="292"/>
      <c r="C1152" s="105" t="s">
        <v>748</v>
      </c>
      <c r="D1152" s="271" t="s">
        <v>588</v>
      </c>
      <c r="E1152" s="250">
        <v>0.05</v>
      </c>
      <c r="F1152" s="176" t="s">
        <v>782</v>
      </c>
      <c r="G1152" s="258">
        <v>2.8974999999999995</v>
      </c>
      <c r="H1152" s="176" t="s">
        <v>749</v>
      </c>
      <c r="I1152" s="258">
        <f>IF(ISNUMBER(G1152),E1152*G1152,"")</f>
        <v>0.14487499999999998</v>
      </c>
      <c r="J1152" s="295">
        <f>SUM(I1152:I1155)</f>
        <v>122.72745999999999</v>
      </c>
      <c r="K1152" s="29"/>
      <c r="L1152" s="174">
        <v>2</v>
      </c>
    </row>
    <row r="1153" spans="1:12" x14ac:dyDescent="0.25">
      <c r="A1153" s="291"/>
      <c r="B1153" s="292"/>
      <c r="C1153" s="105" t="s">
        <v>38</v>
      </c>
      <c r="D1153" s="271" t="s">
        <v>21</v>
      </c>
      <c r="E1153" s="250">
        <v>0.09</v>
      </c>
      <c r="F1153" s="176" t="s">
        <v>782</v>
      </c>
      <c r="G1153" s="257">
        <v>14.325999999999999</v>
      </c>
      <c r="H1153" s="176" t="s">
        <v>39</v>
      </c>
      <c r="I1153" s="258">
        <f>IF(ISNUMBER(G1153),E1153*G1153,"")</f>
        <v>1.2893399999999999</v>
      </c>
      <c r="J1153" s="282"/>
      <c r="K1153" s="35"/>
      <c r="L1153" s="174">
        <v>2</v>
      </c>
    </row>
    <row r="1154" spans="1:12" x14ac:dyDescent="0.25">
      <c r="A1154" s="291"/>
      <c r="B1154" s="292"/>
      <c r="C1154" s="105" t="s">
        <v>70</v>
      </c>
      <c r="D1154" s="271" t="s">
        <v>21</v>
      </c>
      <c r="E1154" s="250">
        <v>0.27</v>
      </c>
      <c r="F1154" s="176" t="s">
        <v>782</v>
      </c>
      <c r="G1154" s="257">
        <v>18.743500000000001</v>
      </c>
      <c r="H1154" s="176" t="s">
        <v>71</v>
      </c>
      <c r="I1154" s="258">
        <f>IF(ISNUMBER(G1154),E1154*G1154,"")</f>
        <v>5.0607450000000007</v>
      </c>
      <c r="J1154" s="281"/>
      <c r="K1154" s="19"/>
      <c r="L1154" s="174">
        <v>2</v>
      </c>
    </row>
    <row r="1155" spans="1:12" x14ac:dyDescent="0.25">
      <c r="A1155" s="291"/>
      <c r="B1155" s="292"/>
      <c r="C1155" s="105" t="s">
        <v>787</v>
      </c>
      <c r="D1155" s="105" t="s">
        <v>32</v>
      </c>
      <c r="E1155" s="250">
        <v>1</v>
      </c>
      <c r="F1155" s="176" t="s">
        <v>782</v>
      </c>
      <c r="G1155" s="258">
        <v>116.23249999999999</v>
      </c>
      <c r="H1155" s="176" t="s">
        <v>788</v>
      </c>
      <c r="I1155" s="257">
        <f>IF(ISNUMBER(G1155),E1155*G1155,"")</f>
        <v>116.23249999999999</v>
      </c>
      <c r="J1155" s="281"/>
      <c r="K1155" s="19"/>
      <c r="L1155" s="174">
        <v>2</v>
      </c>
    </row>
    <row r="1156" spans="1:12" ht="15.75" thickBot="1" x14ac:dyDescent="0.3">
      <c r="A1156" s="296"/>
      <c r="B1156" s="297"/>
      <c r="C1156" s="105"/>
      <c r="D1156" s="105"/>
      <c r="E1156" s="250"/>
      <c r="F1156" s="176"/>
      <c r="G1156" s="257" t="s">
        <v>1079</v>
      </c>
      <c r="H1156" s="176"/>
      <c r="I1156" s="257" t="str">
        <f>IF(ISNUMBER(G1156),E1156*G1156,"")</f>
        <v/>
      </c>
      <c r="J1156" s="281"/>
      <c r="K1156" s="19"/>
      <c r="L1156" s="174">
        <v>2</v>
      </c>
    </row>
    <row r="1157" spans="1:12" ht="15.75" thickBot="1" x14ac:dyDescent="0.3">
      <c r="A1157" s="288" t="s">
        <v>789</v>
      </c>
      <c r="B1157" s="289" t="str">
        <f>INDEX(Orçamentária!A:B,MATCH(Composições!A1157,Orçamentária!A:A,0),2)</f>
        <v>Torneira de mesa para cozinha bica móvel – Linha Administrativa</v>
      </c>
      <c r="C1157" s="274"/>
      <c r="D1157" s="265" t="str">
        <f>TRIM(INDEX(Orçamentária!C:C,MATCH(Composições!A1157,Orçamentária!A:A,0),1))</f>
        <v>un</v>
      </c>
      <c r="E1157" s="290"/>
      <c r="F1157" s="259" t="s">
        <v>790</v>
      </c>
      <c r="G1157" s="260" t="s">
        <v>1079</v>
      </c>
      <c r="H1157" s="261"/>
      <c r="I1157" s="261" t="str">
        <f>IF(ISNUMBER(G1157),E1157*G1157,"")</f>
        <v/>
      </c>
      <c r="J1157" s="280"/>
      <c r="K1157" s="18"/>
      <c r="L1157" s="174">
        <v>1</v>
      </c>
    </row>
    <row r="1158" spans="1:12" x14ac:dyDescent="0.25">
      <c r="A1158" s="291"/>
      <c r="B1158" s="292"/>
      <c r="C1158" s="155"/>
      <c r="D1158" s="155"/>
      <c r="E1158" s="293"/>
      <c r="F1158" s="294"/>
      <c r="G1158" s="262" t="s">
        <v>1079</v>
      </c>
      <c r="H1158" s="155"/>
      <c r="I1158" s="257" t="str">
        <f>IF(ISNUMBER(G1158),E1158*G1158,"")</f>
        <v/>
      </c>
      <c r="J1158" s="281"/>
      <c r="K1158" s="19"/>
      <c r="L1158" s="174">
        <v>1</v>
      </c>
    </row>
    <row r="1159" spans="1:12" x14ac:dyDescent="0.25">
      <c r="A1159" s="291"/>
      <c r="B1159" s="292"/>
      <c r="C1159" s="105" t="s">
        <v>791</v>
      </c>
      <c r="D1159" s="271" t="s">
        <v>305</v>
      </c>
      <c r="E1159" s="250">
        <v>1</v>
      </c>
      <c r="F1159" s="176" t="s">
        <v>792</v>
      </c>
      <c r="G1159" s="258">
        <v>300.83</v>
      </c>
      <c r="H1159" s="176" t="s">
        <v>33</v>
      </c>
      <c r="I1159" s="258">
        <f>IF(ISNUMBER(G1159),E1159*G1159,"")</f>
        <v>300.83</v>
      </c>
      <c r="J1159" s="295">
        <f>SUM(I1159:I1162)</f>
        <v>304.82077899999996</v>
      </c>
      <c r="K1159" s="29"/>
      <c r="L1159" s="174">
        <v>1</v>
      </c>
    </row>
    <row r="1160" spans="1:12" x14ac:dyDescent="0.25">
      <c r="A1160" s="291"/>
      <c r="B1160" s="292"/>
      <c r="C1160" s="105" t="s">
        <v>748</v>
      </c>
      <c r="D1160" s="271" t="s">
        <v>588</v>
      </c>
      <c r="E1160" s="250">
        <v>3.04E-2</v>
      </c>
      <c r="F1160" s="176" t="s">
        <v>792</v>
      </c>
      <c r="G1160" s="258">
        <v>2.8974999999999995</v>
      </c>
      <c r="H1160" s="176" t="s">
        <v>749</v>
      </c>
      <c r="I1160" s="258">
        <f>IF(ISNUMBER(G1160),E1160*G1160,"")</f>
        <v>8.8083999999999982E-2</v>
      </c>
      <c r="J1160" s="281"/>
      <c r="K1160" s="19"/>
      <c r="L1160" s="174">
        <v>1</v>
      </c>
    </row>
    <row r="1161" spans="1:12" x14ac:dyDescent="0.25">
      <c r="A1161" s="291"/>
      <c r="B1161" s="292"/>
      <c r="C1161" s="105" t="s">
        <v>70</v>
      </c>
      <c r="D1161" s="271" t="s">
        <v>21</v>
      </c>
      <c r="E1161" s="250">
        <v>0.17</v>
      </c>
      <c r="F1161" s="176" t="s">
        <v>792</v>
      </c>
      <c r="G1161" s="257">
        <v>18.743500000000001</v>
      </c>
      <c r="H1161" s="176" t="s">
        <v>71</v>
      </c>
      <c r="I1161" s="258">
        <f>IF(ISNUMBER(G1161),E1161*G1161,"")</f>
        <v>3.1863950000000005</v>
      </c>
      <c r="J1161" s="281"/>
      <c r="K1161" s="19"/>
      <c r="L1161" s="174">
        <v>1</v>
      </c>
    </row>
    <row r="1162" spans="1:12" x14ac:dyDescent="0.25">
      <c r="A1162" s="291"/>
      <c r="B1162" s="292"/>
      <c r="C1162" s="105" t="s">
        <v>38</v>
      </c>
      <c r="D1162" s="271" t="s">
        <v>21</v>
      </c>
      <c r="E1162" s="250">
        <v>0.05</v>
      </c>
      <c r="F1162" s="176" t="s">
        <v>792</v>
      </c>
      <c r="G1162" s="257">
        <v>14.325999999999999</v>
      </c>
      <c r="H1162" s="176" t="s">
        <v>39</v>
      </c>
      <c r="I1162" s="258">
        <f>IF(ISNUMBER(G1162),E1162*G1162,"")</f>
        <v>0.71629999999999994</v>
      </c>
      <c r="J1162" s="281"/>
      <c r="K1162" s="19"/>
      <c r="L1162" s="174">
        <v>1</v>
      </c>
    </row>
    <row r="1163" spans="1:12" ht="15.75" thickBot="1" x14ac:dyDescent="0.3">
      <c r="A1163" s="296"/>
      <c r="B1163" s="297"/>
      <c r="C1163" s="105"/>
      <c r="D1163" s="105"/>
      <c r="E1163" s="250"/>
      <c r="F1163" s="176"/>
      <c r="G1163" s="257" t="s">
        <v>1079</v>
      </c>
      <c r="H1163" s="176"/>
      <c r="I1163" s="257" t="str">
        <f>IF(ISNUMBER(G1163),E1163*G1163,"")</f>
        <v/>
      </c>
      <c r="J1163" s="281"/>
      <c r="K1163" s="19"/>
      <c r="L1163" s="174">
        <v>1</v>
      </c>
    </row>
    <row r="1164" spans="1:12" ht="15.75" hidden="1" thickBot="1" x14ac:dyDescent="0.3">
      <c r="A1164" s="180" t="s">
        <v>793</v>
      </c>
      <c r="B1164" s="178" t="str">
        <f>INDEX(Orçamentária!A:B,MATCH(Composições!A1164,Orçamentária!A:A,0),2)</f>
        <v>Torneira de mesa para cozinha bica móvel com arejador – Linha Administrativa</v>
      </c>
      <c r="C1164" s="30"/>
      <c r="D1164" s="13" t="str">
        <f>TRIM(INDEX(Orçamentária!C:C,MATCH(Composições!A1164,Orçamentária!A:A,0),1))</f>
        <v>un</v>
      </c>
      <c r="E1164" s="14"/>
      <c r="F1164" s="15" t="s">
        <v>790</v>
      </c>
      <c r="G1164" s="31" t="s">
        <v>1079</v>
      </c>
      <c r="H1164" s="16"/>
      <c r="I1164" s="16" t="str">
        <f>IF(ISNUMBER(G1164),E1164*G1164,"")</f>
        <v/>
      </c>
      <c r="J1164" s="17"/>
      <c r="K1164" s="18"/>
      <c r="L1164" s="174">
        <v>0</v>
      </c>
    </row>
    <row r="1165" spans="1:12" ht="15.75" hidden="1" thickBot="1" x14ac:dyDescent="0.3">
      <c r="A1165" s="181"/>
      <c r="B1165" s="179"/>
      <c r="C1165" s="20"/>
      <c r="D1165" s="20"/>
      <c r="E1165" s="21"/>
      <c r="F1165" s="22"/>
      <c r="G1165" s="32" t="s">
        <v>1079</v>
      </c>
      <c r="H1165" s="20"/>
      <c r="I1165" s="19" t="str">
        <f>IF(ISNUMBER(G1165),E1165*G1165,"")</f>
        <v/>
      </c>
      <c r="J1165" s="24"/>
      <c r="K1165" s="19"/>
      <c r="L1165" s="174">
        <v>0</v>
      </c>
    </row>
    <row r="1166" spans="1:12" ht="26.25" hidden="1" thickBot="1" x14ac:dyDescent="0.3">
      <c r="A1166" s="181"/>
      <c r="B1166" s="179"/>
      <c r="C1166" s="25" t="s">
        <v>794</v>
      </c>
      <c r="D1166" s="36" t="s">
        <v>305</v>
      </c>
      <c r="E1166" s="26">
        <v>1</v>
      </c>
      <c r="F1166" s="27" t="s">
        <v>792</v>
      </c>
      <c r="G1166" s="23" t="s">
        <v>1079</v>
      </c>
      <c r="H1166" s="27" t="s">
        <v>33</v>
      </c>
      <c r="I1166" s="23" t="str">
        <f>IF(ISNUMBER(G1166),E1166*G1166,"")</f>
        <v/>
      </c>
      <c r="J1166" s="28">
        <f>SUM(I1166:I1169)</f>
        <v>3.9907790000000003</v>
      </c>
      <c r="K1166" s="29"/>
      <c r="L1166" s="174">
        <v>0</v>
      </c>
    </row>
    <row r="1167" spans="1:12" ht="15.75" hidden="1" thickBot="1" x14ac:dyDescent="0.3">
      <c r="A1167" s="181"/>
      <c r="B1167" s="179"/>
      <c r="C1167" s="25" t="s">
        <v>748</v>
      </c>
      <c r="D1167" s="36" t="s">
        <v>588</v>
      </c>
      <c r="E1167" s="26">
        <v>3.04E-2</v>
      </c>
      <c r="F1167" s="27" t="s">
        <v>792</v>
      </c>
      <c r="G1167" s="23">
        <v>2.8974999999999995</v>
      </c>
      <c r="H1167" s="27" t="s">
        <v>749</v>
      </c>
      <c r="I1167" s="23">
        <f>IF(ISNUMBER(G1167),E1167*G1167,"")</f>
        <v>8.8083999999999982E-2</v>
      </c>
      <c r="J1167" s="24"/>
      <c r="K1167" s="19"/>
      <c r="L1167" s="174">
        <v>0</v>
      </c>
    </row>
    <row r="1168" spans="1:12" ht="15.75" hidden="1" thickBot="1" x14ac:dyDescent="0.3">
      <c r="A1168" s="181"/>
      <c r="B1168" s="179"/>
      <c r="C1168" s="25" t="s">
        <v>70</v>
      </c>
      <c r="D1168" s="36" t="s">
        <v>21</v>
      </c>
      <c r="E1168" s="26">
        <v>0.17</v>
      </c>
      <c r="F1168" s="27" t="s">
        <v>792</v>
      </c>
      <c r="G1168" s="19">
        <v>18.743500000000001</v>
      </c>
      <c r="H1168" s="27" t="s">
        <v>71</v>
      </c>
      <c r="I1168" s="23">
        <f>IF(ISNUMBER(G1168),E1168*G1168,"")</f>
        <v>3.1863950000000005</v>
      </c>
      <c r="J1168" s="24"/>
      <c r="K1168" s="19"/>
      <c r="L1168" s="174">
        <v>0</v>
      </c>
    </row>
    <row r="1169" spans="1:12" ht="15.75" hidden="1" thickBot="1" x14ac:dyDescent="0.3">
      <c r="A1169" s="181"/>
      <c r="B1169" s="179"/>
      <c r="C1169" s="25" t="s">
        <v>38</v>
      </c>
      <c r="D1169" s="36" t="s">
        <v>21</v>
      </c>
      <c r="E1169" s="26">
        <v>0.05</v>
      </c>
      <c r="F1169" s="27" t="s">
        <v>792</v>
      </c>
      <c r="G1169" s="19">
        <v>14.325999999999999</v>
      </c>
      <c r="H1169" s="27" t="s">
        <v>39</v>
      </c>
      <c r="I1169" s="23">
        <f>IF(ISNUMBER(G1169),E1169*G1169,"")</f>
        <v>0.71629999999999994</v>
      </c>
      <c r="J1169" s="24"/>
      <c r="K1169" s="19"/>
      <c r="L1169" s="174">
        <v>0</v>
      </c>
    </row>
    <row r="1170" spans="1:12" ht="15.75" hidden="1" thickBot="1" x14ac:dyDescent="0.3">
      <c r="A1170" s="182"/>
      <c r="B1170" s="183"/>
      <c r="C1170" s="25"/>
      <c r="D1170" s="25"/>
      <c r="E1170" s="26"/>
      <c r="F1170" s="27"/>
      <c r="G1170" s="19" t="s">
        <v>1079</v>
      </c>
      <c r="H1170" s="27"/>
      <c r="I1170" s="19" t="str">
        <f>IF(ISNUMBER(G1170),E1170*G1170,"")</f>
        <v/>
      </c>
      <c r="J1170" s="24"/>
      <c r="K1170" s="19"/>
      <c r="L1170" s="174">
        <v>0</v>
      </c>
    </row>
    <row r="1171" spans="1:12" ht="15.75" hidden="1" thickBot="1" x14ac:dyDescent="0.3">
      <c r="A1171" s="180" t="s">
        <v>795</v>
      </c>
      <c r="B1171" s="178" t="str">
        <f>INDEX(Orçamentária!A:B,MATCH(Composições!A1171,Orçamentária!A:A,0),2)</f>
        <v>Torneira de mesa para lavatório – Linha Acessibilidade</v>
      </c>
      <c r="C1171" s="30"/>
      <c r="D1171" s="13" t="str">
        <f>TRIM(INDEX(Orçamentária!C:C,MATCH(Composições!A1171,Orçamentária!A:A,0),1))</f>
        <v>un</v>
      </c>
      <c r="E1171" s="14"/>
      <c r="F1171" s="15" t="s">
        <v>796</v>
      </c>
      <c r="G1171" s="31" t="s">
        <v>1079</v>
      </c>
      <c r="H1171" s="16"/>
      <c r="I1171" s="16" t="str">
        <f>IF(ISNUMBER(G1171),E1171*G1171,"")</f>
        <v/>
      </c>
      <c r="J1171" s="17"/>
      <c r="K1171" s="18"/>
      <c r="L1171" s="174">
        <v>0</v>
      </c>
    </row>
    <row r="1172" spans="1:12" ht="15.75" hidden="1" thickBot="1" x14ac:dyDescent="0.3">
      <c r="A1172" s="181"/>
      <c r="B1172" s="179"/>
      <c r="C1172" s="20"/>
      <c r="D1172" s="20"/>
      <c r="E1172" s="21"/>
      <c r="F1172" s="22"/>
      <c r="G1172" s="32" t="s">
        <v>1079</v>
      </c>
      <c r="H1172" s="20"/>
      <c r="I1172" s="19" t="str">
        <f>IF(ISNUMBER(G1172),E1172*G1172,"")</f>
        <v/>
      </c>
      <c r="J1172" s="24"/>
      <c r="K1172" s="19"/>
      <c r="L1172" s="174">
        <v>0</v>
      </c>
    </row>
    <row r="1173" spans="1:12" ht="26.25" hidden="1" thickBot="1" x14ac:dyDescent="0.3">
      <c r="A1173" s="181"/>
      <c r="B1173" s="179"/>
      <c r="C1173" s="25" t="s">
        <v>797</v>
      </c>
      <c r="D1173" s="36" t="s">
        <v>305</v>
      </c>
      <c r="E1173" s="26">
        <v>1</v>
      </c>
      <c r="F1173" s="27" t="s">
        <v>798</v>
      </c>
      <c r="G1173" s="23" t="s">
        <v>1079</v>
      </c>
      <c r="H1173" s="27" t="s">
        <v>33</v>
      </c>
      <c r="I1173" s="23" t="str">
        <f>IF(ISNUMBER(G1173),E1173*G1173,"")</f>
        <v/>
      </c>
      <c r="J1173" s="28">
        <f>SUM(I1173:I1176)</f>
        <v>2.3922140000000001</v>
      </c>
      <c r="K1173" s="29"/>
      <c r="L1173" s="174">
        <v>0</v>
      </c>
    </row>
    <row r="1174" spans="1:12" ht="15.75" hidden="1" thickBot="1" x14ac:dyDescent="0.3">
      <c r="A1174" s="181"/>
      <c r="B1174" s="179"/>
      <c r="C1174" s="25" t="s">
        <v>748</v>
      </c>
      <c r="D1174" s="36" t="s">
        <v>588</v>
      </c>
      <c r="E1174" s="26">
        <v>3.04E-2</v>
      </c>
      <c r="F1174" s="27" t="s">
        <v>798</v>
      </c>
      <c r="G1174" s="23">
        <v>2.8974999999999995</v>
      </c>
      <c r="H1174" s="27" t="s">
        <v>749</v>
      </c>
      <c r="I1174" s="23">
        <f>IF(ISNUMBER(G1174),E1174*G1174,"")</f>
        <v>8.8083999999999982E-2</v>
      </c>
      <c r="J1174" s="24"/>
      <c r="K1174" s="19"/>
      <c r="L1174" s="174">
        <v>0</v>
      </c>
    </row>
    <row r="1175" spans="1:12" ht="15.75" hidden="1" thickBot="1" x14ac:dyDescent="0.3">
      <c r="A1175" s="181"/>
      <c r="B1175" s="179"/>
      <c r="C1175" s="25" t="s">
        <v>70</v>
      </c>
      <c r="D1175" s="36" t="s">
        <v>21</v>
      </c>
      <c r="E1175" s="26">
        <v>0.1</v>
      </c>
      <c r="F1175" s="27" t="s">
        <v>798</v>
      </c>
      <c r="G1175" s="19">
        <v>18.743500000000001</v>
      </c>
      <c r="H1175" s="27" t="s">
        <v>71</v>
      </c>
      <c r="I1175" s="23">
        <f>IF(ISNUMBER(G1175),E1175*G1175,"")</f>
        <v>1.8743500000000002</v>
      </c>
      <c r="J1175" s="24"/>
      <c r="K1175" s="19"/>
      <c r="L1175" s="174">
        <v>0</v>
      </c>
    </row>
    <row r="1176" spans="1:12" ht="15.75" hidden="1" thickBot="1" x14ac:dyDescent="0.3">
      <c r="A1176" s="181"/>
      <c r="B1176" s="179"/>
      <c r="C1176" s="25" t="s">
        <v>38</v>
      </c>
      <c r="D1176" s="36" t="s">
        <v>21</v>
      </c>
      <c r="E1176" s="26">
        <v>0.03</v>
      </c>
      <c r="F1176" s="27" t="s">
        <v>798</v>
      </c>
      <c r="G1176" s="19">
        <v>14.325999999999999</v>
      </c>
      <c r="H1176" s="27" t="s">
        <v>39</v>
      </c>
      <c r="I1176" s="23">
        <f>IF(ISNUMBER(G1176),E1176*G1176,"")</f>
        <v>0.42977999999999994</v>
      </c>
      <c r="J1176" s="24"/>
      <c r="K1176" s="19"/>
      <c r="L1176" s="174">
        <v>0</v>
      </c>
    </row>
    <row r="1177" spans="1:12" ht="15.75" hidden="1" thickBot="1" x14ac:dyDescent="0.3">
      <c r="A1177" s="182"/>
      <c r="B1177" s="183"/>
      <c r="C1177" s="25"/>
      <c r="D1177" s="25"/>
      <c r="E1177" s="26"/>
      <c r="F1177" s="27"/>
      <c r="G1177" s="19" t="s">
        <v>1079</v>
      </c>
      <c r="H1177" s="27"/>
      <c r="I1177" s="19" t="str">
        <f>IF(ISNUMBER(G1177),E1177*G1177,"")</f>
        <v/>
      </c>
      <c r="J1177" s="24"/>
      <c r="K1177" s="19"/>
      <c r="L1177" s="174">
        <v>0</v>
      </c>
    </row>
    <row r="1178" spans="1:12" ht="15.75" hidden="1" thickBot="1" x14ac:dyDescent="0.3">
      <c r="A1178" s="180" t="s">
        <v>799</v>
      </c>
      <c r="B1178" s="178" t="str">
        <f>INDEX(Orçamentária!A:B,MATCH(Composições!A1178,Orçamentária!A:A,0),2)</f>
        <v>Torneira de mesa para lavatório bica alta – Linha Administrativa</v>
      </c>
      <c r="C1178" s="30"/>
      <c r="D1178" s="13" t="str">
        <f>TRIM(INDEX(Orçamentária!C:C,MATCH(Composições!A1178,Orçamentária!A:A,0),1))</f>
        <v>un</v>
      </c>
      <c r="E1178" s="14"/>
      <c r="F1178" s="15" t="s">
        <v>796</v>
      </c>
      <c r="G1178" s="31" t="s">
        <v>1079</v>
      </c>
      <c r="H1178" s="16"/>
      <c r="I1178" s="16" t="str">
        <f>IF(ISNUMBER(G1178),E1178*G1178,"")</f>
        <v/>
      </c>
      <c r="J1178" s="17"/>
      <c r="K1178" s="18"/>
      <c r="L1178" s="174">
        <v>0</v>
      </c>
    </row>
    <row r="1179" spans="1:12" ht="15.75" hidden="1" thickBot="1" x14ac:dyDescent="0.3">
      <c r="A1179" s="181"/>
      <c r="B1179" s="179"/>
      <c r="C1179" s="20"/>
      <c r="D1179" s="20"/>
      <c r="E1179" s="21"/>
      <c r="F1179" s="22"/>
      <c r="G1179" s="32" t="s">
        <v>1079</v>
      </c>
      <c r="H1179" s="20"/>
      <c r="I1179" s="19" t="str">
        <f>IF(ISNUMBER(G1179),E1179*G1179,"")</f>
        <v/>
      </c>
      <c r="J1179" s="24"/>
      <c r="K1179" s="19"/>
      <c r="L1179" s="174">
        <v>0</v>
      </c>
    </row>
    <row r="1180" spans="1:12" ht="26.25" hidden="1" thickBot="1" x14ac:dyDescent="0.3">
      <c r="A1180" s="181"/>
      <c r="B1180" s="179"/>
      <c r="C1180" s="25" t="s">
        <v>800</v>
      </c>
      <c r="D1180" s="36" t="s">
        <v>305</v>
      </c>
      <c r="E1180" s="26">
        <v>1</v>
      </c>
      <c r="F1180" s="27" t="s">
        <v>798</v>
      </c>
      <c r="G1180" s="23" t="s">
        <v>1079</v>
      </c>
      <c r="H1180" s="27" t="s">
        <v>33</v>
      </c>
      <c r="I1180" s="23" t="str">
        <f>IF(ISNUMBER(G1180),E1180*G1180,"")</f>
        <v/>
      </c>
      <c r="J1180" s="28">
        <f>SUM(I1180:I1183)</f>
        <v>2.3922140000000001</v>
      </c>
      <c r="K1180" s="29"/>
      <c r="L1180" s="174">
        <v>0</v>
      </c>
    </row>
    <row r="1181" spans="1:12" ht="15.75" hidden="1" thickBot="1" x14ac:dyDescent="0.3">
      <c r="A1181" s="181"/>
      <c r="B1181" s="179"/>
      <c r="C1181" s="25" t="s">
        <v>748</v>
      </c>
      <c r="D1181" s="36" t="s">
        <v>588</v>
      </c>
      <c r="E1181" s="26">
        <v>3.04E-2</v>
      </c>
      <c r="F1181" s="27" t="s">
        <v>798</v>
      </c>
      <c r="G1181" s="23">
        <v>2.8974999999999995</v>
      </c>
      <c r="H1181" s="27" t="s">
        <v>749</v>
      </c>
      <c r="I1181" s="23">
        <f>IF(ISNUMBER(G1181),E1181*G1181,"")</f>
        <v>8.8083999999999982E-2</v>
      </c>
      <c r="J1181" s="24"/>
      <c r="K1181" s="19"/>
      <c r="L1181" s="174">
        <v>0</v>
      </c>
    </row>
    <row r="1182" spans="1:12" ht="15.75" hidden="1" thickBot="1" x14ac:dyDescent="0.3">
      <c r="A1182" s="181"/>
      <c r="B1182" s="179"/>
      <c r="C1182" s="25" t="s">
        <v>70</v>
      </c>
      <c r="D1182" s="36" t="s">
        <v>21</v>
      </c>
      <c r="E1182" s="26">
        <v>0.1</v>
      </c>
      <c r="F1182" s="27" t="s">
        <v>798</v>
      </c>
      <c r="G1182" s="19">
        <v>18.743500000000001</v>
      </c>
      <c r="H1182" s="27" t="s">
        <v>71</v>
      </c>
      <c r="I1182" s="23">
        <f>IF(ISNUMBER(G1182),E1182*G1182,"")</f>
        <v>1.8743500000000002</v>
      </c>
      <c r="J1182" s="24"/>
      <c r="K1182" s="19"/>
      <c r="L1182" s="174">
        <v>0</v>
      </c>
    </row>
    <row r="1183" spans="1:12" ht="15.75" hidden="1" thickBot="1" x14ac:dyDescent="0.3">
      <c r="A1183" s="181"/>
      <c r="B1183" s="179"/>
      <c r="C1183" s="25" t="s">
        <v>38</v>
      </c>
      <c r="D1183" s="36" t="s">
        <v>21</v>
      </c>
      <c r="E1183" s="26">
        <v>0.03</v>
      </c>
      <c r="F1183" s="27" t="s">
        <v>798</v>
      </c>
      <c r="G1183" s="19">
        <v>14.325999999999999</v>
      </c>
      <c r="H1183" s="27" t="s">
        <v>39</v>
      </c>
      <c r="I1183" s="23">
        <f>IF(ISNUMBER(G1183),E1183*G1183,"")</f>
        <v>0.42977999999999994</v>
      </c>
      <c r="J1183" s="24"/>
      <c r="K1183" s="19"/>
      <c r="L1183" s="174">
        <v>0</v>
      </c>
    </row>
    <row r="1184" spans="1:12" ht="15.75" hidden="1" thickBot="1" x14ac:dyDescent="0.3">
      <c r="A1184" s="182"/>
      <c r="B1184" s="183"/>
      <c r="C1184" s="25"/>
      <c r="D1184" s="25"/>
      <c r="E1184" s="26"/>
      <c r="F1184" s="27"/>
      <c r="G1184" s="19" t="s">
        <v>1079</v>
      </c>
      <c r="H1184" s="27"/>
      <c r="I1184" s="19" t="str">
        <f>IF(ISNUMBER(G1184),E1184*G1184,"")</f>
        <v/>
      </c>
      <c r="J1184" s="24"/>
      <c r="K1184" s="19"/>
      <c r="L1184" s="174">
        <v>0</v>
      </c>
    </row>
    <row r="1185" spans="1:12" ht="15.75" hidden="1" thickBot="1" x14ac:dyDescent="0.3">
      <c r="A1185" s="180" t="s">
        <v>801</v>
      </c>
      <c r="B1185" s="178" t="str">
        <f>INDEX(Orçamentária!A:B,MATCH(Composições!A1185,Orçamentária!A:A,0),2)</f>
        <v>Torneira de mesa para lavatório bica baixa – Linha Administrativa</v>
      </c>
      <c r="C1185" s="30"/>
      <c r="D1185" s="13" t="str">
        <f>TRIM(INDEX(Orçamentária!C:C,MATCH(Composições!A1185,Orçamentária!A:A,0),1))</f>
        <v>un</v>
      </c>
      <c r="E1185" s="14"/>
      <c r="F1185" s="15" t="s">
        <v>796</v>
      </c>
      <c r="G1185" s="31" t="s">
        <v>1079</v>
      </c>
      <c r="H1185" s="16"/>
      <c r="I1185" s="16" t="str">
        <f>IF(ISNUMBER(G1185),E1185*G1185,"")</f>
        <v/>
      </c>
      <c r="J1185" s="17"/>
      <c r="K1185" s="18"/>
      <c r="L1185" s="174">
        <v>0</v>
      </c>
    </row>
    <row r="1186" spans="1:12" ht="15.75" hidden="1" thickBot="1" x14ac:dyDescent="0.3">
      <c r="A1186" s="181"/>
      <c r="B1186" s="179"/>
      <c r="C1186" s="20"/>
      <c r="D1186" s="20"/>
      <c r="E1186" s="21"/>
      <c r="F1186" s="22"/>
      <c r="G1186" s="32" t="s">
        <v>1079</v>
      </c>
      <c r="H1186" s="20"/>
      <c r="I1186" s="19" t="str">
        <f>IF(ISNUMBER(G1186),E1186*G1186,"")</f>
        <v/>
      </c>
      <c r="J1186" s="24"/>
      <c r="K1186" s="19"/>
      <c r="L1186" s="174">
        <v>0</v>
      </c>
    </row>
    <row r="1187" spans="1:12" ht="26.25" hidden="1" thickBot="1" x14ac:dyDescent="0.3">
      <c r="A1187" s="181"/>
      <c r="B1187" s="179"/>
      <c r="C1187" s="25" t="s">
        <v>802</v>
      </c>
      <c r="D1187" s="36" t="s">
        <v>305</v>
      </c>
      <c r="E1187" s="26">
        <v>1</v>
      </c>
      <c r="F1187" s="27" t="s">
        <v>798</v>
      </c>
      <c r="G1187" s="23" t="s">
        <v>1079</v>
      </c>
      <c r="H1187" s="27" t="s">
        <v>33</v>
      </c>
      <c r="I1187" s="23" t="str">
        <f>IF(ISNUMBER(G1187),E1187*G1187,"")</f>
        <v/>
      </c>
      <c r="J1187" s="28">
        <f>SUM(I1187:I1190)</f>
        <v>2.3922140000000001</v>
      </c>
      <c r="K1187" s="29"/>
      <c r="L1187" s="174">
        <v>0</v>
      </c>
    </row>
    <row r="1188" spans="1:12" ht="15.75" hidden="1" thickBot="1" x14ac:dyDescent="0.3">
      <c r="A1188" s="181"/>
      <c r="B1188" s="179"/>
      <c r="C1188" s="25" t="s">
        <v>748</v>
      </c>
      <c r="D1188" s="36" t="s">
        <v>588</v>
      </c>
      <c r="E1188" s="26">
        <v>3.04E-2</v>
      </c>
      <c r="F1188" s="27" t="s">
        <v>798</v>
      </c>
      <c r="G1188" s="23">
        <v>2.8974999999999995</v>
      </c>
      <c r="H1188" s="27" t="s">
        <v>749</v>
      </c>
      <c r="I1188" s="23">
        <f>IF(ISNUMBER(G1188),E1188*G1188,"")</f>
        <v>8.8083999999999982E-2</v>
      </c>
      <c r="J1188" s="24"/>
      <c r="K1188" s="19"/>
      <c r="L1188" s="174">
        <v>0</v>
      </c>
    </row>
    <row r="1189" spans="1:12" ht="15.75" hidden="1" thickBot="1" x14ac:dyDescent="0.3">
      <c r="A1189" s="181"/>
      <c r="B1189" s="179"/>
      <c r="C1189" s="25" t="s">
        <v>70</v>
      </c>
      <c r="D1189" s="36" t="s">
        <v>21</v>
      </c>
      <c r="E1189" s="26">
        <v>0.1</v>
      </c>
      <c r="F1189" s="27" t="s">
        <v>798</v>
      </c>
      <c r="G1189" s="19">
        <v>18.743500000000001</v>
      </c>
      <c r="H1189" s="27" t="s">
        <v>71</v>
      </c>
      <c r="I1189" s="23">
        <f>IF(ISNUMBER(G1189),E1189*G1189,"")</f>
        <v>1.8743500000000002</v>
      </c>
      <c r="J1189" s="24"/>
      <c r="K1189" s="19"/>
      <c r="L1189" s="174">
        <v>0</v>
      </c>
    </row>
    <row r="1190" spans="1:12" ht="15.75" hidden="1" thickBot="1" x14ac:dyDescent="0.3">
      <c r="A1190" s="181"/>
      <c r="B1190" s="179"/>
      <c r="C1190" s="25" t="s">
        <v>38</v>
      </c>
      <c r="D1190" s="36" t="s">
        <v>21</v>
      </c>
      <c r="E1190" s="26">
        <v>0.03</v>
      </c>
      <c r="F1190" s="27" t="s">
        <v>798</v>
      </c>
      <c r="G1190" s="19">
        <v>14.325999999999999</v>
      </c>
      <c r="H1190" s="27" t="s">
        <v>39</v>
      </c>
      <c r="I1190" s="23">
        <f>IF(ISNUMBER(G1190),E1190*G1190,"")</f>
        <v>0.42977999999999994</v>
      </c>
      <c r="J1190" s="24"/>
      <c r="K1190" s="19"/>
      <c r="L1190" s="174">
        <v>0</v>
      </c>
    </row>
    <row r="1191" spans="1:12" ht="15.75" hidden="1" thickBot="1" x14ac:dyDescent="0.3">
      <c r="A1191" s="182"/>
      <c r="B1191" s="183"/>
      <c r="C1191" s="25"/>
      <c r="D1191" s="25"/>
      <c r="E1191" s="26"/>
      <c r="F1191" s="27"/>
      <c r="G1191" s="19" t="s">
        <v>1079</v>
      </c>
      <c r="H1191" s="27"/>
      <c r="I1191" s="19" t="str">
        <f>IF(ISNUMBER(G1191),E1191*G1191,"")</f>
        <v/>
      </c>
      <c r="J1191" s="24"/>
      <c r="K1191" s="19"/>
      <c r="L1191" s="174">
        <v>0</v>
      </c>
    </row>
    <row r="1192" spans="1:12" ht="15.75" hidden="1" thickBot="1" x14ac:dyDescent="0.3">
      <c r="A1192" s="180" t="s">
        <v>803</v>
      </c>
      <c r="B1192" s="178" t="str">
        <f>INDEX(Orçamentária!A:B,MATCH(Composições!A1192,Orçamentária!A:A,0),2)</f>
        <v>Torneira de mesa para lavatório com fechamento automático – Linha Administrativa</v>
      </c>
      <c r="C1192" s="30"/>
      <c r="D1192" s="13" t="str">
        <f>TRIM(INDEX(Orçamentária!C:C,MATCH(Composições!A1192,Orçamentária!A:A,0),1))</f>
        <v>un</v>
      </c>
      <c r="E1192" s="14"/>
      <c r="F1192" s="15" t="s">
        <v>796</v>
      </c>
      <c r="G1192" s="31" t="s">
        <v>1079</v>
      </c>
      <c r="H1192" s="16"/>
      <c r="I1192" s="16" t="str">
        <f>IF(ISNUMBER(G1192),E1192*G1192,"")</f>
        <v/>
      </c>
      <c r="J1192" s="17"/>
      <c r="K1192" s="18"/>
      <c r="L1192" s="174">
        <v>0</v>
      </c>
    </row>
    <row r="1193" spans="1:12" ht="15.75" hidden="1" thickBot="1" x14ac:dyDescent="0.3">
      <c r="A1193" s="181"/>
      <c r="B1193" s="179"/>
      <c r="C1193" s="20"/>
      <c r="D1193" s="20"/>
      <c r="E1193" s="21"/>
      <c r="F1193" s="22"/>
      <c r="G1193" s="32" t="s">
        <v>1079</v>
      </c>
      <c r="H1193" s="20"/>
      <c r="I1193" s="19" t="str">
        <f>IF(ISNUMBER(G1193),E1193*G1193,"")</f>
        <v/>
      </c>
      <c r="J1193" s="24"/>
      <c r="K1193" s="19"/>
      <c r="L1193" s="174">
        <v>0</v>
      </c>
    </row>
    <row r="1194" spans="1:12" ht="26.25" hidden="1" thickBot="1" x14ac:dyDescent="0.3">
      <c r="A1194" s="181"/>
      <c r="B1194" s="179"/>
      <c r="C1194" s="25" t="s">
        <v>804</v>
      </c>
      <c r="D1194" s="36" t="s">
        <v>588</v>
      </c>
      <c r="E1194" s="26">
        <v>1</v>
      </c>
      <c r="F1194" s="27" t="s">
        <v>798</v>
      </c>
      <c r="G1194" s="23">
        <v>142.68049999999999</v>
      </c>
      <c r="H1194" s="27" t="s">
        <v>805</v>
      </c>
      <c r="I1194" s="23">
        <f>IF(ISNUMBER(G1194),E1194*G1194,"")</f>
        <v>142.68049999999999</v>
      </c>
      <c r="J1194" s="28">
        <f>SUM(I1194:I1197)</f>
        <v>145.07271399999999</v>
      </c>
      <c r="K1194" s="29"/>
      <c r="L1194" s="174">
        <v>0</v>
      </c>
    </row>
    <row r="1195" spans="1:12" ht="15.75" hidden="1" thickBot="1" x14ac:dyDescent="0.3">
      <c r="A1195" s="181"/>
      <c r="B1195" s="179"/>
      <c r="C1195" s="25" t="s">
        <v>748</v>
      </c>
      <c r="D1195" s="36" t="s">
        <v>588</v>
      </c>
      <c r="E1195" s="26">
        <v>3.04E-2</v>
      </c>
      <c r="F1195" s="27" t="s">
        <v>798</v>
      </c>
      <c r="G1195" s="23">
        <v>2.8974999999999995</v>
      </c>
      <c r="H1195" s="27" t="s">
        <v>749</v>
      </c>
      <c r="I1195" s="23">
        <f>IF(ISNUMBER(G1195),E1195*G1195,"")</f>
        <v>8.8083999999999982E-2</v>
      </c>
      <c r="J1195" s="24"/>
      <c r="K1195" s="19"/>
      <c r="L1195" s="174">
        <v>0</v>
      </c>
    </row>
    <row r="1196" spans="1:12" ht="15.75" hidden="1" thickBot="1" x14ac:dyDescent="0.3">
      <c r="A1196" s="181"/>
      <c r="B1196" s="179"/>
      <c r="C1196" s="25" t="s">
        <v>70</v>
      </c>
      <c r="D1196" s="36" t="s">
        <v>21</v>
      </c>
      <c r="E1196" s="26">
        <v>0.1</v>
      </c>
      <c r="F1196" s="27" t="s">
        <v>798</v>
      </c>
      <c r="G1196" s="19">
        <v>18.743500000000001</v>
      </c>
      <c r="H1196" s="27" t="s">
        <v>71</v>
      </c>
      <c r="I1196" s="23">
        <f>IF(ISNUMBER(G1196),E1196*G1196,"")</f>
        <v>1.8743500000000002</v>
      </c>
      <c r="J1196" s="24"/>
      <c r="K1196" s="19"/>
      <c r="L1196" s="174">
        <v>0</v>
      </c>
    </row>
    <row r="1197" spans="1:12" ht="15.75" hidden="1" thickBot="1" x14ac:dyDescent="0.3">
      <c r="A1197" s="181"/>
      <c r="B1197" s="179"/>
      <c r="C1197" s="25" t="s">
        <v>38</v>
      </c>
      <c r="D1197" s="36" t="s">
        <v>21</v>
      </c>
      <c r="E1197" s="26">
        <v>0.03</v>
      </c>
      <c r="F1197" s="27" t="s">
        <v>798</v>
      </c>
      <c r="G1197" s="19">
        <v>14.325999999999999</v>
      </c>
      <c r="H1197" s="27" t="s">
        <v>39</v>
      </c>
      <c r="I1197" s="23">
        <f>IF(ISNUMBER(G1197),E1197*G1197,"")</f>
        <v>0.42977999999999994</v>
      </c>
      <c r="J1197" s="24"/>
      <c r="K1197" s="19"/>
      <c r="L1197" s="174">
        <v>0</v>
      </c>
    </row>
    <row r="1198" spans="1:12" ht="15.75" hidden="1" thickBot="1" x14ac:dyDescent="0.3">
      <c r="A1198" s="182"/>
      <c r="B1198" s="183"/>
      <c r="C1198" s="25"/>
      <c r="D1198" s="25"/>
      <c r="E1198" s="26"/>
      <c r="F1198" s="27"/>
      <c r="G1198" s="19" t="s">
        <v>1079</v>
      </c>
      <c r="H1198" s="27"/>
      <c r="I1198" s="19" t="str">
        <f>IF(ISNUMBER(G1198),E1198*G1198,"")</f>
        <v/>
      </c>
      <c r="J1198" s="24"/>
      <c r="K1198" s="19"/>
      <c r="L1198" s="174">
        <v>0</v>
      </c>
    </row>
    <row r="1199" spans="1:12" ht="15.75" hidden="1" thickBot="1" x14ac:dyDescent="0.3">
      <c r="A1199" s="180" t="s">
        <v>806</v>
      </c>
      <c r="B1199" s="178" t="str">
        <f>INDEX(Orçamentária!A:B,MATCH(Composições!A1199,Orçamentária!A:A,0),2)</f>
        <v>Torneira de parede para cozinha bica móvel – Linha Administrativa</v>
      </c>
      <c r="C1199" s="30"/>
      <c r="D1199" s="13" t="str">
        <f>TRIM(INDEX(Orçamentária!C:C,MATCH(Composições!A1199,Orçamentária!A:A,0),1))</f>
        <v>un</v>
      </c>
      <c r="E1199" s="14"/>
      <c r="F1199" s="15" t="s">
        <v>807</v>
      </c>
      <c r="G1199" s="31" t="s">
        <v>1079</v>
      </c>
      <c r="H1199" s="16"/>
      <c r="I1199" s="16" t="str">
        <f>IF(ISNUMBER(G1199),E1199*G1199,"")</f>
        <v/>
      </c>
      <c r="J1199" s="17"/>
      <c r="K1199" s="18"/>
      <c r="L1199" s="174">
        <v>0</v>
      </c>
    </row>
    <row r="1200" spans="1:12" ht="15.75" hidden="1" thickBot="1" x14ac:dyDescent="0.3">
      <c r="A1200" s="181"/>
      <c r="B1200" s="179"/>
      <c r="C1200" s="20"/>
      <c r="D1200" s="20"/>
      <c r="E1200" s="21"/>
      <c r="F1200" s="22"/>
      <c r="G1200" s="32" t="s">
        <v>1079</v>
      </c>
      <c r="H1200" s="20"/>
      <c r="I1200" s="19" t="str">
        <f>IF(ISNUMBER(G1200),E1200*G1200,"")</f>
        <v/>
      </c>
      <c r="J1200" s="24"/>
      <c r="K1200" s="19"/>
      <c r="L1200" s="174">
        <v>0</v>
      </c>
    </row>
    <row r="1201" spans="1:12" ht="26.25" hidden="1" thickBot="1" x14ac:dyDescent="0.3">
      <c r="A1201" s="181"/>
      <c r="B1201" s="179"/>
      <c r="C1201" s="25" t="s">
        <v>808</v>
      </c>
      <c r="D1201" s="36" t="s">
        <v>305</v>
      </c>
      <c r="E1201" s="26">
        <v>1</v>
      </c>
      <c r="F1201" s="27" t="s">
        <v>809</v>
      </c>
      <c r="G1201" s="23" t="s">
        <v>1079</v>
      </c>
      <c r="H1201" s="27" t="s">
        <v>33</v>
      </c>
      <c r="I1201" s="23" t="str">
        <f>IF(ISNUMBER(G1201),E1201*G1201,"")</f>
        <v/>
      </c>
      <c r="J1201" s="28">
        <f>SUM(I1201:I1204)</f>
        <v>3.9907790000000003</v>
      </c>
      <c r="K1201" s="29"/>
      <c r="L1201" s="174">
        <v>0</v>
      </c>
    </row>
    <row r="1202" spans="1:12" ht="15.75" hidden="1" thickBot="1" x14ac:dyDescent="0.3">
      <c r="A1202" s="181"/>
      <c r="B1202" s="179"/>
      <c r="C1202" s="25" t="s">
        <v>748</v>
      </c>
      <c r="D1202" s="36" t="s">
        <v>588</v>
      </c>
      <c r="E1202" s="26">
        <v>3.04E-2</v>
      </c>
      <c r="F1202" s="27" t="s">
        <v>809</v>
      </c>
      <c r="G1202" s="23">
        <v>2.8974999999999995</v>
      </c>
      <c r="H1202" s="27" t="s">
        <v>749</v>
      </c>
      <c r="I1202" s="23">
        <f>IF(ISNUMBER(G1202),E1202*G1202,"")</f>
        <v>8.8083999999999982E-2</v>
      </c>
      <c r="J1202" s="24"/>
      <c r="K1202" s="19"/>
      <c r="L1202" s="174">
        <v>0</v>
      </c>
    </row>
    <row r="1203" spans="1:12" ht="15.75" hidden="1" thickBot="1" x14ac:dyDescent="0.3">
      <c r="A1203" s="181"/>
      <c r="B1203" s="179"/>
      <c r="C1203" s="25" t="s">
        <v>70</v>
      </c>
      <c r="D1203" s="36" t="s">
        <v>21</v>
      </c>
      <c r="E1203" s="26">
        <v>0.17</v>
      </c>
      <c r="F1203" s="27" t="s">
        <v>809</v>
      </c>
      <c r="G1203" s="19">
        <v>18.743500000000001</v>
      </c>
      <c r="H1203" s="27" t="s">
        <v>71</v>
      </c>
      <c r="I1203" s="23">
        <f>IF(ISNUMBER(G1203),E1203*G1203,"")</f>
        <v>3.1863950000000005</v>
      </c>
      <c r="J1203" s="24"/>
      <c r="K1203" s="19"/>
      <c r="L1203" s="174">
        <v>0</v>
      </c>
    </row>
    <row r="1204" spans="1:12" ht="15.75" hidden="1" thickBot="1" x14ac:dyDescent="0.3">
      <c r="A1204" s="181"/>
      <c r="B1204" s="179"/>
      <c r="C1204" s="25" t="s">
        <v>38</v>
      </c>
      <c r="D1204" s="36" t="s">
        <v>21</v>
      </c>
      <c r="E1204" s="26">
        <v>0.05</v>
      </c>
      <c r="F1204" s="27" t="s">
        <v>809</v>
      </c>
      <c r="G1204" s="19">
        <v>14.325999999999999</v>
      </c>
      <c r="H1204" s="27" t="s">
        <v>39</v>
      </c>
      <c r="I1204" s="23">
        <f>IF(ISNUMBER(G1204),E1204*G1204,"")</f>
        <v>0.71629999999999994</v>
      </c>
      <c r="J1204" s="24"/>
      <c r="K1204" s="19"/>
      <c r="L1204" s="174">
        <v>0</v>
      </c>
    </row>
    <row r="1205" spans="1:12" ht="15.75" hidden="1" thickBot="1" x14ac:dyDescent="0.3">
      <c r="A1205" s="182"/>
      <c r="B1205" s="183"/>
      <c r="C1205" s="25"/>
      <c r="D1205" s="25"/>
      <c r="E1205" s="26"/>
      <c r="F1205" s="27"/>
      <c r="G1205" s="19" t="s">
        <v>1079</v>
      </c>
      <c r="H1205" s="27"/>
      <c r="I1205" s="19" t="str">
        <f>IF(ISNUMBER(G1205),E1205*G1205,"")</f>
        <v/>
      </c>
      <c r="J1205" s="24"/>
      <c r="K1205" s="19"/>
      <c r="L1205" s="174">
        <v>0</v>
      </c>
    </row>
    <row r="1206" spans="1:12" ht="15.75" thickBot="1" x14ac:dyDescent="0.3">
      <c r="A1206" s="288" t="s">
        <v>810</v>
      </c>
      <c r="B1206" s="289" t="str">
        <f>INDEX(Orçamentária!A:B,MATCH(Composições!A1206,Orçamentária!A:A,0),2)</f>
        <v>Torneira de parede para tanque – Linha Administrativa</v>
      </c>
      <c r="C1206" s="274"/>
      <c r="D1206" s="265" t="str">
        <f>TRIM(INDEX(Orçamentária!C:C,MATCH(Composições!A1206,Orçamentária!A:A,0),1))</f>
        <v>un</v>
      </c>
      <c r="E1206" s="290"/>
      <c r="F1206" s="259" t="s">
        <v>811</v>
      </c>
      <c r="G1206" s="260" t="s">
        <v>1079</v>
      </c>
      <c r="H1206" s="261"/>
      <c r="I1206" s="261" t="str">
        <f>IF(ISNUMBER(G1206),E1206*G1206,"")</f>
        <v/>
      </c>
      <c r="J1206" s="280"/>
      <c r="K1206" s="18"/>
      <c r="L1206" s="174">
        <v>1</v>
      </c>
    </row>
    <row r="1207" spans="1:12" x14ac:dyDescent="0.25">
      <c r="A1207" s="291"/>
      <c r="B1207" s="292"/>
      <c r="C1207" s="155"/>
      <c r="D1207" s="155"/>
      <c r="E1207" s="293"/>
      <c r="F1207" s="294"/>
      <c r="G1207" s="262" t="s">
        <v>1079</v>
      </c>
      <c r="H1207" s="155"/>
      <c r="I1207" s="257" t="str">
        <f>IF(ISNUMBER(G1207),E1207*G1207,"")</f>
        <v/>
      </c>
      <c r="J1207" s="281"/>
      <c r="K1207" s="19"/>
      <c r="L1207" s="174">
        <v>1</v>
      </c>
    </row>
    <row r="1208" spans="1:12" x14ac:dyDescent="0.25">
      <c r="A1208" s="291"/>
      <c r="B1208" s="292"/>
      <c r="C1208" s="105" t="s">
        <v>748</v>
      </c>
      <c r="D1208" s="271" t="s">
        <v>588</v>
      </c>
      <c r="E1208" s="250">
        <v>3.04E-2</v>
      </c>
      <c r="F1208" s="176" t="s">
        <v>812</v>
      </c>
      <c r="G1208" s="258">
        <v>2.8974999999999995</v>
      </c>
      <c r="H1208" s="176" t="s">
        <v>749</v>
      </c>
      <c r="I1208" s="258">
        <f>IF(ISNUMBER(G1208),E1208*G1208,"")</f>
        <v>8.8083999999999982E-2</v>
      </c>
      <c r="J1208" s="295">
        <f>SUM(I1208:I1211)</f>
        <v>54.383908999999996</v>
      </c>
      <c r="K1208" s="29"/>
      <c r="L1208" s="174">
        <v>1</v>
      </c>
    </row>
    <row r="1209" spans="1:12" x14ac:dyDescent="0.25">
      <c r="A1209" s="291"/>
      <c r="B1209" s="292"/>
      <c r="C1209" s="105" t="s">
        <v>70</v>
      </c>
      <c r="D1209" s="271" t="s">
        <v>21</v>
      </c>
      <c r="E1209" s="250">
        <v>0.15</v>
      </c>
      <c r="F1209" s="176" t="s">
        <v>812</v>
      </c>
      <c r="G1209" s="257">
        <v>18.743500000000001</v>
      </c>
      <c r="H1209" s="176" t="s">
        <v>71</v>
      </c>
      <c r="I1209" s="258">
        <f>IF(ISNUMBER(G1209),E1209*G1209,"")</f>
        <v>2.8115250000000001</v>
      </c>
      <c r="J1209" s="281"/>
      <c r="K1209" s="19"/>
      <c r="L1209" s="174">
        <v>1</v>
      </c>
    </row>
    <row r="1210" spans="1:12" x14ac:dyDescent="0.25">
      <c r="A1210" s="291"/>
      <c r="B1210" s="292"/>
      <c r="C1210" s="105" t="s">
        <v>38</v>
      </c>
      <c r="D1210" s="105" t="s">
        <v>21</v>
      </c>
      <c r="E1210" s="250">
        <v>0.05</v>
      </c>
      <c r="F1210" s="176" t="s">
        <v>812</v>
      </c>
      <c r="G1210" s="257">
        <v>14.325999999999999</v>
      </c>
      <c r="H1210" s="176" t="s">
        <v>39</v>
      </c>
      <c r="I1210" s="258">
        <f>IF(ISNUMBER(G1210),E1210*G1210,"")</f>
        <v>0.71629999999999994</v>
      </c>
      <c r="J1210" s="281"/>
      <c r="K1210" s="19"/>
      <c r="L1210" s="174">
        <v>1</v>
      </c>
    </row>
    <row r="1211" spans="1:12" x14ac:dyDescent="0.25">
      <c r="A1211" s="291"/>
      <c r="B1211" s="292"/>
      <c r="C1211" s="105" t="s">
        <v>813</v>
      </c>
      <c r="D1211" s="105" t="s">
        <v>32</v>
      </c>
      <c r="E1211" s="250">
        <v>1</v>
      </c>
      <c r="F1211" s="176" t="s">
        <v>812</v>
      </c>
      <c r="G1211" s="258">
        <v>50.767999999999994</v>
      </c>
      <c r="H1211" s="176" t="s">
        <v>814</v>
      </c>
      <c r="I1211" s="257">
        <f>IF(ISNUMBER(G1211),E1211*G1211,"")</f>
        <v>50.767999999999994</v>
      </c>
      <c r="J1211" s="281"/>
      <c r="K1211" s="19"/>
      <c r="L1211" s="174">
        <v>1</v>
      </c>
    </row>
    <row r="1212" spans="1:12" ht="15.75" thickBot="1" x14ac:dyDescent="0.3">
      <c r="A1212" s="296"/>
      <c r="B1212" s="297"/>
      <c r="C1212" s="105"/>
      <c r="D1212" s="105"/>
      <c r="E1212" s="250"/>
      <c r="F1212" s="176"/>
      <c r="G1212" s="257" t="s">
        <v>1079</v>
      </c>
      <c r="H1212" s="176"/>
      <c r="I1212" s="257" t="str">
        <f>IF(ISNUMBER(G1212),E1212*G1212,"")</f>
        <v/>
      </c>
      <c r="J1212" s="281"/>
      <c r="K1212" s="19"/>
      <c r="L1212" s="174">
        <v>1</v>
      </c>
    </row>
    <row r="1213" spans="1:12" ht="15.75" hidden="1" thickBot="1" x14ac:dyDescent="0.3">
      <c r="A1213" s="180" t="s">
        <v>815</v>
      </c>
      <c r="B1213" s="178" t="str">
        <f>INDEX(Orçamentária!A:B,MATCH(Composições!A1213,Orçamentária!A:A,0),2)</f>
        <v>Válvula de descarga 1 1/2" – Linha Acessibilidade</v>
      </c>
      <c r="C1213" s="30"/>
      <c r="D1213" s="13" t="str">
        <f>TRIM(INDEX(Orçamentária!C:C,MATCH(Composições!A1213,Orçamentária!A:A,0),1))</f>
        <v>un</v>
      </c>
      <c r="E1213" s="14"/>
      <c r="F1213" s="15" t="s">
        <v>816</v>
      </c>
      <c r="G1213" s="31" t="s">
        <v>1079</v>
      </c>
      <c r="H1213" s="16"/>
      <c r="I1213" s="16" t="str">
        <f>IF(ISNUMBER(G1213),E1213*G1213,"")</f>
        <v/>
      </c>
      <c r="J1213" s="17"/>
      <c r="K1213" s="18"/>
      <c r="L1213" s="174">
        <v>0</v>
      </c>
    </row>
    <row r="1214" spans="1:12" ht="15.75" hidden="1" thickBot="1" x14ac:dyDescent="0.3">
      <c r="A1214" s="181"/>
      <c r="B1214" s="179"/>
      <c r="C1214" s="20"/>
      <c r="D1214" s="20"/>
      <c r="E1214" s="21"/>
      <c r="F1214" s="22"/>
      <c r="G1214" s="32" t="s">
        <v>1079</v>
      </c>
      <c r="H1214" s="20"/>
      <c r="I1214" s="19" t="str">
        <f>IF(ISNUMBER(G1214),E1214*G1214,"")</f>
        <v/>
      </c>
      <c r="J1214" s="24"/>
      <c r="K1214" s="19"/>
      <c r="L1214" s="174">
        <v>0</v>
      </c>
    </row>
    <row r="1215" spans="1:12" ht="26.25" hidden="1" thickBot="1" x14ac:dyDescent="0.3">
      <c r="A1215" s="181"/>
      <c r="B1215" s="179"/>
      <c r="C1215" s="25" t="s">
        <v>817</v>
      </c>
      <c r="D1215" s="36" t="s">
        <v>305</v>
      </c>
      <c r="E1215" s="26">
        <v>1</v>
      </c>
      <c r="F1215" s="27" t="s">
        <v>818</v>
      </c>
      <c r="G1215" s="23" t="s">
        <v>1079</v>
      </c>
      <c r="H1215" s="27" t="s">
        <v>33</v>
      </c>
      <c r="I1215" s="23" t="str">
        <f>IF(ISNUMBER(G1215),E1215*G1215,"")</f>
        <v/>
      </c>
      <c r="J1215" s="28">
        <f>SUM(I1215:I1218)</f>
        <v>26.647006000000005</v>
      </c>
      <c r="K1215" s="29"/>
      <c r="L1215" s="174">
        <v>0</v>
      </c>
    </row>
    <row r="1216" spans="1:12" ht="15.75" hidden="1" thickBot="1" x14ac:dyDescent="0.3">
      <c r="A1216" s="181"/>
      <c r="B1216" s="179"/>
      <c r="C1216" s="25" t="s">
        <v>819</v>
      </c>
      <c r="D1216" s="41" t="s">
        <v>588</v>
      </c>
      <c r="E1216" s="26">
        <v>1.9E-2</v>
      </c>
      <c r="F1216" s="27" t="s">
        <v>818</v>
      </c>
      <c r="G1216" s="23">
        <v>10.677999999999999</v>
      </c>
      <c r="H1216" s="27" t="s">
        <v>690</v>
      </c>
      <c r="I1216" s="23">
        <f>IF(ISNUMBER(G1216),E1216*G1216,"")</f>
        <v>0.20288199999999998</v>
      </c>
      <c r="J1216" s="24"/>
      <c r="K1216" s="19"/>
      <c r="L1216" s="174">
        <v>0</v>
      </c>
    </row>
    <row r="1217" spans="1:12" ht="26.25" hidden="1" thickBot="1" x14ac:dyDescent="0.3">
      <c r="A1217" s="181"/>
      <c r="B1217" s="179"/>
      <c r="C1217" s="25" t="s">
        <v>224</v>
      </c>
      <c r="D1217" s="36" t="s">
        <v>21</v>
      </c>
      <c r="E1217" s="26">
        <v>0.78900000000000003</v>
      </c>
      <c r="F1217" s="27" t="s">
        <v>818</v>
      </c>
      <c r="G1217" s="19">
        <v>14.772500000000001</v>
      </c>
      <c r="H1217" s="27" t="s">
        <v>226</v>
      </c>
      <c r="I1217" s="23">
        <f>IF(ISNUMBER(G1217),E1217*G1217,"")</f>
        <v>11.655502500000001</v>
      </c>
      <c r="J1217" s="24"/>
      <c r="K1217" s="19"/>
      <c r="L1217" s="174">
        <v>0</v>
      </c>
    </row>
    <row r="1218" spans="1:12" ht="15.75" hidden="1" thickBot="1" x14ac:dyDescent="0.3">
      <c r="A1218" s="181"/>
      <c r="B1218" s="179"/>
      <c r="C1218" s="25" t="s">
        <v>70</v>
      </c>
      <c r="D1218" s="36" t="s">
        <v>21</v>
      </c>
      <c r="E1218" s="26">
        <v>0.78900000000000003</v>
      </c>
      <c r="F1218" s="27" t="s">
        <v>818</v>
      </c>
      <c r="G1218" s="19">
        <v>18.743500000000001</v>
      </c>
      <c r="H1218" s="27" t="s">
        <v>71</v>
      </c>
      <c r="I1218" s="23">
        <f>IF(ISNUMBER(G1218),E1218*G1218,"")</f>
        <v>14.788621500000001</v>
      </c>
      <c r="J1218" s="24"/>
      <c r="K1218" s="19"/>
      <c r="L1218" s="174">
        <v>0</v>
      </c>
    </row>
    <row r="1219" spans="1:12" ht="15.75" hidden="1" thickBot="1" x14ac:dyDescent="0.3">
      <c r="A1219" s="182"/>
      <c r="B1219" s="183"/>
      <c r="C1219" s="25"/>
      <c r="D1219" s="25"/>
      <c r="E1219" s="26"/>
      <c r="F1219" s="27"/>
      <c r="G1219" s="19" t="s">
        <v>1079</v>
      </c>
      <c r="H1219" s="27"/>
      <c r="I1219" s="19" t="str">
        <f>IF(ISNUMBER(G1219),E1219*G1219,"")</f>
        <v/>
      </c>
      <c r="J1219" s="24"/>
      <c r="K1219" s="19"/>
      <c r="L1219" s="174">
        <v>0</v>
      </c>
    </row>
    <row r="1220" spans="1:12" ht="15.75" hidden="1" thickBot="1" x14ac:dyDescent="0.3">
      <c r="A1220" s="180" t="s">
        <v>820</v>
      </c>
      <c r="B1220" s="178" t="str">
        <f>INDEX(Orçamentária!A:B,MATCH(Composições!A1220,Orçamentária!A:A,0),2)</f>
        <v>Válvula de descarga 1 1/2" – Linha Administrativa</v>
      </c>
      <c r="C1220" s="30"/>
      <c r="D1220" s="13" t="str">
        <f>TRIM(INDEX(Orçamentária!C:C,MATCH(Composições!A1220,Orçamentária!A:A,0),1))</f>
        <v>un</v>
      </c>
      <c r="E1220" s="14"/>
      <c r="F1220" s="15" t="s">
        <v>818</v>
      </c>
      <c r="G1220" s="31" t="s">
        <v>1079</v>
      </c>
      <c r="H1220" s="16"/>
      <c r="I1220" s="16" t="str">
        <f>IF(ISNUMBER(G1220),E1220*G1220,"")</f>
        <v/>
      </c>
      <c r="J1220" s="17"/>
      <c r="K1220" s="18"/>
      <c r="L1220" s="174">
        <v>0</v>
      </c>
    </row>
    <row r="1221" spans="1:12" ht="15.75" hidden="1" thickBot="1" x14ac:dyDescent="0.3">
      <c r="A1221" s="181"/>
      <c r="B1221" s="179"/>
      <c r="C1221" s="20"/>
      <c r="D1221" s="20"/>
      <c r="E1221" s="21"/>
      <c r="F1221" s="22"/>
      <c r="G1221" s="32" t="s">
        <v>1079</v>
      </c>
      <c r="H1221" s="20"/>
      <c r="I1221" s="19" t="str">
        <f>IF(ISNUMBER(G1221),E1221*G1221,"")</f>
        <v/>
      </c>
      <c r="J1221" s="24"/>
      <c r="K1221" s="19"/>
      <c r="L1221" s="174">
        <v>0</v>
      </c>
    </row>
    <row r="1222" spans="1:12" ht="26.25" hidden="1" thickBot="1" x14ac:dyDescent="0.3">
      <c r="A1222" s="181"/>
      <c r="B1222" s="179"/>
      <c r="C1222" s="25" t="s">
        <v>821</v>
      </c>
      <c r="D1222" s="36" t="s">
        <v>588</v>
      </c>
      <c r="E1222" s="26">
        <v>1</v>
      </c>
      <c r="F1222" s="27" t="s">
        <v>818</v>
      </c>
      <c r="G1222" s="23">
        <v>169.72699999999998</v>
      </c>
      <c r="H1222" s="27" t="s">
        <v>822</v>
      </c>
      <c r="I1222" s="23">
        <f>IF(ISNUMBER(G1222),E1222*G1222,"")</f>
        <v>169.72699999999998</v>
      </c>
      <c r="J1222" s="28">
        <f>SUM(I1222:I1225)</f>
        <v>196.37400599999998</v>
      </c>
      <c r="K1222" s="29"/>
      <c r="L1222" s="174">
        <v>0</v>
      </c>
    </row>
    <row r="1223" spans="1:12" ht="15.75" hidden="1" thickBot="1" x14ac:dyDescent="0.3">
      <c r="A1223" s="181"/>
      <c r="B1223" s="179"/>
      <c r="C1223" s="25" t="s">
        <v>819</v>
      </c>
      <c r="D1223" s="41" t="s">
        <v>588</v>
      </c>
      <c r="E1223" s="26">
        <v>1.9E-2</v>
      </c>
      <c r="F1223" s="27" t="s">
        <v>818</v>
      </c>
      <c r="G1223" s="23">
        <v>10.677999999999999</v>
      </c>
      <c r="H1223" s="27" t="s">
        <v>690</v>
      </c>
      <c r="I1223" s="23">
        <f>IF(ISNUMBER(G1223),E1223*G1223,"")</f>
        <v>0.20288199999999998</v>
      </c>
      <c r="J1223" s="24"/>
      <c r="K1223" s="19"/>
      <c r="L1223" s="174">
        <v>0</v>
      </c>
    </row>
    <row r="1224" spans="1:12" ht="26.25" hidden="1" thickBot="1" x14ac:dyDescent="0.3">
      <c r="A1224" s="181"/>
      <c r="B1224" s="179"/>
      <c r="C1224" s="25" t="s">
        <v>224</v>
      </c>
      <c r="D1224" s="36" t="s">
        <v>21</v>
      </c>
      <c r="E1224" s="26">
        <v>0.78900000000000003</v>
      </c>
      <c r="F1224" s="27" t="s">
        <v>818</v>
      </c>
      <c r="G1224" s="19">
        <v>14.772500000000001</v>
      </c>
      <c r="H1224" s="27" t="s">
        <v>226</v>
      </c>
      <c r="I1224" s="23">
        <f>IF(ISNUMBER(G1224),E1224*G1224,"")</f>
        <v>11.655502500000001</v>
      </c>
      <c r="J1224" s="24"/>
      <c r="K1224" s="19"/>
      <c r="L1224" s="174">
        <v>0</v>
      </c>
    </row>
    <row r="1225" spans="1:12" ht="15.75" hidden="1" thickBot="1" x14ac:dyDescent="0.3">
      <c r="A1225" s="181"/>
      <c r="B1225" s="179"/>
      <c r="C1225" s="25" t="s">
        <v>70</v>
      </c>
      <c r="D1225" s="36" t="s">
        <v>21</v>
      </c>
      <c r="E1225" s="26">
        <v>0.78900000000000003</v>
      </c>
      <c r="F1225" s="27" t="s">
        <v>818</v>
      </c>
      <c r="G1225" s="19">
        <v>18.743500000000001</v>
      </c>
      <c r="H1225" s="27" t="s">
        <v>71</v>
      </c>
      <c r="I1225" s="23">
        <f>IF(ISNUMBER(G1225),E1225*G1225,"")</f>
        <v>14.788621500000001</v>
      </c>
      <c r="J1225" s="24"/>
      <c r="K1225" s="19"/>
      <c r="L1225" s="174">
        <v>0</v>
      </c>
    </row>
    <row r="1226" spans="1:12" ht="15.75" hidden="1" thickBot="1" x14ac:dyDescent="0.3">
      <c r="A1226" s="182"/>
      <c r="B1226" s="183"/>
      <c r="C1226" s="25"/>
      <c r="D1226" s="25"/>
      <c r="E1226" s="26"/>
      <c r="F1226" s="27"/>
      <c r="G1226" s="19" t="s">
        <v>1079</v>
      </c>
      <c r="H1226" s="27"/>
      <c r="I1226" s="19" t="str">
        <f>IF(ISNUMBER(G1226),E1226*G1226,"")</f>
        <v/>
      </c>
      <c r="J1226" s="24"/>
      <c r="K1226" s="19"/>
      <c r="L1226" s="174">
        <v>0</v>
      </c>
    </row>
    <row r="1227" spans="1:12" ht="15.75" hidden="1" thickBot="1" x14ac:dyDescent="0.3">
      <c r="A1227" s="180" t="s">
        <v>823</v>
      </c>
      <c r="B1227" s="178" t="str">
        <f>INDEX(Orçamentária!A:B,MATCH(Composições!A1227,Orçamentária!A:A,0),2)</f>
        <v>Válvula de descarga 1 1/4" – Linha Acessibilidade</v>
      </c>
      <c r="C1227" s="30"/>
      <c r="D1227" s="13" t="str">
        <f>TRIM(INDEX(Orçamentária!C:C,MATCH(Composições!A1227,Orçamentária!A:A,0),1))</f>
        <v>un</v>
      </c>
      <c r="E1227" s="14"/>
      <c r="F1227" s="15" t="s">
        <v>816</v>
      </c>
      <c r="G1227" s="31" t="s">
        <v>1079</v>
      </c>
      <c r="H1227" s="16"/>
      <c r="I1227" s="16" t="str">
        <f>IF(ISNUMBER(G1227),E1227*G1227,"")</f>
        <v/>
      </c>
      <c r="J1227" s="17"/>
      <c r="K1227" s="18"/>
      <c r="L1227" s="174">
        <v>0</v>
      </c>
    </row>
    <row r="1228" spans="1:12" ht="15.75" hidden="1" thickBot="1" x14ac:dyDescent="0.3">
      <c r="A1228" s="181"/>
      <c r="B1228" s="179"/>
      <c r="C1228" s="20"/>
      <c r="D1228" s="20"/>
      <c r="E1228" s="21"/>
      <c r="F1228" s="22"/>
      <c r="G1228" s="32" t="s">
        <v>1079</v>
      </c>
      <c r="H1228" s="20"/>
      <c r="I1228" s="19" t="str">
        <f>IF(ISNUMBER(G1228),E1228*G1228,"")</f>
        <v/>
      </c>
      <c r="J1228" s="24"/>
      <c r="K1228" s="19"/>
      <c r="L1228" s="174">
        <v>0</v>
      </c>
    </row>
    <row r="1229" spans="1:12" ht="26.25" hidden="1" thickBot="1" x14ac:dyDescent="0.3">
      <c r="A1229" s="181"/>
      <c r="B1229" s="179"/>
      <c r="C1229" s="25" t="s">
        <v>824</v>
      </c>
      <c r="D1229" s="36" t="s">
        <v>305</v>
      </c>
      <c r="E1229" s="26">
        <v>1</v>
      </c>
      <c r="F1229" s="27" t="s">
        <v>818</v>
      </c>
      <c r="G1229" s="23" t="s">
        <v>1079</v>
      </c>
      <c r="H1229" s="27" t="s">
        <v>33</v>
      </c>
      <c r="I1229" s="23" t="str">
        <f>IF(ISNUMBER(G1229),E1229*G1229,"")</f>
        <v/>
      </c>
      <c r="J1229" s="28">
        <f>SUM(I1229:I1232)</f>
        <v>26.647006000000005</v>
      </c>
      <c r="K1229" s="29"/>
      <c r="L1229" s="174">
        <v>0</v>
      </c>
    </row>
    <row r="1230" spans="1:12" ht="15.75" hidden="1" thickBot="1" x14ac:dyDescent="0.3">
      <c r="A1230" s="181"/>
      <c r="B1230" s="179"/>
      <c r="C1230" s="25" t="s">
        <v>819</v>
      </c>
      <c r="D1230" s="41" t="s">
        <v>588</v>
      </c>
      <c r="E1230" s="26">
        <v>1.9E-2</v>
      </c>
      <c r="F1230" s="27" t="s">
        <v>818</v>
      </c>
      <c r="G1230" s="23">
        <v>10.677999999999999</v>
      </c>
      <c r="H1230" s="27" t="s">
        <v>690</v>
      </c>
      <c r="I1230" s="23">
        <f>IF(ISNUMBER(G1230),E1230*G1230,"")</f>
        <v>0.20288199999999998</v>
      </c>
      <c r="J1230" s="24"/>
      <c r="K1230" s="19"/>
      <c r="L1230" s="174">
        <v>0</v>
      </c>
    </row>
    <row r="1231" spans="1:12" ht="26.25" hidden="1" thickBot="1" x14ac:dyDescent="0.3">
      <c r="A1231" s="181"/>
      <c r="B1231" s="179"/>
      <c r="C1231" s="25" t="s">
        <v>224</v>
      </c>
      <c r="D1231" s="36" t="s">
        <v>21</v>
      </c>
      <c r="E1231" s="26">
        <v>0.78900000000000003</v>
      </c>
      <c r="F1231" s="27" t="s">
        <v>818</v>
      </c>
      <c r="G1231" s="19">
        <v>14.772500000000001</v>
      </c>
      <c r="H1231" s="27" t="s">
        <v>226</v>
      </c>
      <c r="I1231" s="23">
        <f>IF(ISNUMBER(G1231),E1231*G1231,"")</f>
        <v>11.655502500000001</v>
      </c>
      <c r="J1231" s="24"/>
      <c r="K1231" s="19"/>
      <c r="L1231" s="174">
        <v>0</v>
      </c>
    </row>
    <row r="1232" spans="1:12" ht="15.75" hidden="1" thickBot="1" x14ac:dyDescent="0.3">
      <c r="A1232" s="181"/>
      <c r="B1232" s="179"/>
      <c r="C1232" s="25" t="s">
        <v>70</v>
      </c>
      <c r="D1232" s="36" t="s">
        <v>21</v>
      </c>
      <c r="E1232" s="26">
        <v>0.78900000000000003</v>
      </c>
      <c r="F1232" s="27" t="s">
        <v>818</v>
      </c>
      <c r="G1232" s="19">
        <v>18.743500000000001</v>
      </c>
      <c r="H1232" s="27" t="s">
        <v>71</v>
      </c>
      <c r="I1232" s="23">
        <f>IF(ISNUMBER(G1232),E1232*G1232,"")</f>
        <v>14.788621500000001</v>
      </c>
      <c r="J1232" s="24"/>
      <c r="K1232" s="19"/>
      <c r="L1232" s="174">
        <v>0</v>
      </c>
    </row>
    <row r="1233" spans="1:12" ht="15.75" hidden="1" thickBot="1" x14ac:dyDescent="0.3">
      <c r="A1233" s="182"/>
      <c r="B1233" s="183"/>
      <c r="C1233" s="25"/>
      <c r="D1233" s="25"/>
      <c r="E1233" s="26"/>
      <c r="F1233" s="27"/>
      <c r="G1233" s="19" t="s">
        <v>1079</v>
      </c>
      <c r="H1233" s="27"/>
      <c r="I1233" s="19" t="str">
        <f>IF(ISNUMBER(G1233),E1233*G1233,"")</f>
        <v/>
      </c>
      <c r="J1233" s="24"/>
      <c r="K1233" s="19"/>
      <c r="L1233" s="174">
        <v>0</v>
      </c>
    </row>
    <row r="1234" spans="1:12" ht="15.75" hidden="1" thickBot="1" x14ac:dyDescent="0.3">
      <c r="A1234" s="180" t="s">
        <v>825</v>
      </c>
      <c r="B1234" s="178" t="str">
        <f>INDEX(Orçamentária!A:B,MATCH(Composições!A1234,Orçamentária!A:A,0),2)</f>
        <v>Válvula de descarga 1 1/4" – Linha Administrativa</v>
      </c>
      <c r="C1234" s="30"/>
      <c r="D1234" s="13" t="str">
        <f>TRIM(INDEX(Orçamentária!C:C,MATCH(Composições!A1234,Orçamentária!A:A,0),1))</f>
        <v>un</v>
      </c>
      <c r="E1234" s="14"/>
      <c r="F1234" s="15" t="s">
        <v>816</v>
      </c>
      <c r="G1234" s="31" t="s">
        <v>1079</v>
      </c>
      <c r="H1234" s="16"/>
      <c r="I1234" s="16" t="str">
        <f>IF(ISNUMBER(G1234),E1234*G1234,"")</f>
        <v/>
      </c>
      <c r="J1234" s="17"/>
      <c r="K1234" s="18"/>
      <c r="L1234" s="174">
        <v>0</v>
      </c>
    </row>
    <row r="1235" spans="1:12" ht="15.75" hidden="1" thickBot="1" x14ac:dyDescent="0.3">
      <c r="A1235" s="181"/>
      <c r="B1235" s="179"/>
      <c r="C1235" s="20"/>
      <c r="D1235" s="20"/>
      <c r="E1235" s="21"/>
      <c r="F1235" s="22"/>
      <c r="G1235" s="32" t="s">
        <v>1079</v>
      </c>
      <c r="H1235" s="20"/>
      <c r="I1235" s="19" t="str">
        <f>IF(ISNUMBER(G1235),E1235*G1235,"")</f>
        <v/>
      </c>
      <c r="J1235" s="24"/>
      <c r="K1235" s="19"/>
      <c r="L1235" s="174">
        <v>0</v>
      </c>
    </row>
    <row r="1236" spans="1:12" ht="26.25" hidden="1" thickBot="1" x14ac:dyDescent="0.3">
      <c r="A1236" s="181"/>
      <c r="B1236" s="179"/>
      <c r="C1236" s="25" t="s">
        <v>826</v>
      </c>
      <c r="D1236" s="36" t="s">
        <v>588</v>
      </c>
      <c r="E1236" s="26">
        <v>1</v>
      </c>
      <c r="F1236" s="27" t="s">
        <v>818</v>
      </c>
      <c r="G1236" s="23">
        <v>137.49349999999998</v>
      </c>
      <c r="H1236" s="27" t="s">
        <v>827</v>
      </c>
      <c r="I1236" s="23">
        <f>IF(ISNUMBER(G1236),E1236*G1236,"")</f>
        <v>137.49349999999998</v>
      </c>
      <c r="J1236" s="28">
        <f>SUM(I1236:I1239)</f>
        <v>164.14050599999999</v>
      </c>
      <c r="K1236" s="29"/>
      <c r="L1236" s="174">
        <v>0</v>
      </c>
    </row>
    <row r="1237" spans="1:12" ht="15.75" hidden="1" thickBot="1" x14ac:dyDescent="0.3">
      <c r="A1237" s="181"/>
      <c r="B1237" s="179"/>
      <c r="C1237" s="25" t="s">
        <v>819</v>
      </c>
      <c r="D1237" s="41" t="s">
        <v>588</v>
      </c>
      <c r="E1237" s="26">
        <v>1.9E-2</v>
      </c>
      <c r="F1237" s="27" t="s">
        <v>818</v>
      </c>
      <c r="G1237" s="23">
        <v>10.677999999999999</v>
      </c>
      <c r="H1237" s="27" t="s">
        <v>690</v>
      </c>
      <c r="I1237" s="23">
        <f>IF(ISNUMBER(G1237),E1237*G1237,"")</f>
        <v>0.20288199999999998</v>
      </c>
      <c r="J1237" s="24"/>
      <c r="K1237" s="19"/>
      <c r="L1237" s="174">
        <v>0</v>
      </c>
    </row>
    <row r="1238" spans="1:12" ht="26.25" hidden="1" thickBot="1" x14ac:dyDescent="0.3">
      <c r="A1238" s="181"/>
      <c r="B1238" s="179"/>
      <c r="C1238" s="25" t="s">
        <v>224</v>
      </c>
      <c r="D1238" s="36" t="s">
        <v>21</v>
      </c>
      <c r="E1238" s="26">
        <v>0.78900000000000003</v>
      </c>
      <c r="F1238" s="27" t="s">
        <v>818</v>
      </c>
      <c r="G1238" s="19">
        <v>14.772500000000001</v>
      </c>
      <c r="H1238" s="27" t="s">
        <v>226</v>
      </c>
      <c r="I1238" s="23">
        <f>IF(ISNUMBER(G1238),E1238*G1238,"")</f>
        <v>11.655502500000001</v>
      </c>
      <c r="J1238" s="24"/>
      <c r="K1238" s="19"/>
      <c r="L1238" s="174">
        <v>0</v>
      </c>
    </row>
    <row r="1239" spans="1:12" ht="15.75" hidden="1" thickBot="1" x14ac:dyDescent="0.3">
      <c r="A1239" s="181"/>
      <c r="B1239" s="179"/>
      <c r="C1239" s="25" t="s">
        <v>70</v>
      </c>
      <c r="D1239" s="36" t="s">
        <v>21</v>
      </c>
      <c r="E1239" s="26">
        <v>0.78900000000000003</v>
      </c>
      <c r="F1239" s="27" t="s">
        <v>818</v>
      </c>
      <c r="G1239" s="19">
        <v>18.743500000000001</v>
      </c>
      <c r="H1239" s="27" t="s">
        <v>71</v>
      </c>
      <c r="I1239" s="23">
        <f>IF(ISNUMBER(G1239),E1239*G1239,"")</f>
        <v>14.788621500000001</v>
      </c>
      <c r="J1239" s="24"/>
      <c r="K1239" s="19"/>
      <c r="L1239" s="174">
        <v>0</v>
      </c>
    </row>
    <row r="1240" spans="1:12" ht="15.75" hidden="1" thickBot="1" x14ac:dyDescent="0.3">
      <c r="A1240" s="182"/>
      <c r="B1240" s="183"/>
      <c r="C1240" s="25"/>
      <c r="D1240" s="25"/>
      <c r="E1240" s="26"/>
      <c r="F1240" s="27"/>
      <c r="G1240" s="19" t="s">
        <v>1079</v>
      </c>
      <c r="H1240" s="27"/>
      <c r="I1240" s="19" t="str">
        <f>IF(ISNUMBER(G1240),E1240*G1240,"")</f>
        <v/>
      </c>
      <c r="J1240" s="24"/>
      <c r="K1240" s="19"/>
      <c r="L1240" s="174">
        <v>0</v>
      </c>
    </row>
    <row r="1241" spans="1:12" ht="15.75" hidden="1" thickBot="1" x14ac:dyDescent="0.3">
      <c r="A1241" s="180" t="s">
        <v>828</v>
      </c>
      <c r="B1241" s="178" t="str">
        <f>INDEX(Orçamentária!A:B,MATCH(Composições!A1241,Orçamentária!A:A,0),2)</f>
        <v>Válvula de escoamento para lavatório – Linha Administrativa</v>
      </c>
      <c r="C1241" s="30"/>
      <c r="D1241" s="13" t="str">
        <f>TRIM(INDEX(Orçamentária!C:C,MATCH(Composições!A1241,Orçamentária!A:A,0),1))</f>
        <v>un</v>
      </c>
      <c r="E1241" s="14"/>
      <c r="F1241" s="15" t="s">
        <v>829</v>
      </c>
      <c r="G1241" s="31" t="s">
        <v>1079</v>
      </c>
      <c r="H1241" s="16"/>
      <c r="I1241" s="16" t="str">
        <f>IF(ISNUMBER(G1241),E1241*G1241,"")</f>
        <v/>
      </c>
      <c r="J1241" s="17"/>
      <c r="K1241" s="18"/>
      <c r="L1241" s="174">
        <v>0</v>
      </c>
    </row>
    <row r="1242" spans="1:12" ht="15.75" hidden="1" thickBot="1" x14ac:dyDescent="0.3">
      <c r="A1242" s="181"/>
      <c r="B1242" s="179"/>
      <c r="C1242" s="20"/>
      <c r="D1242" s="20"/>
      <c r="E1242" s="21"/>
      <c r="F1242" s="22"/>
      <c r="G1242" s="32" t="s">
        <v>1079</v>
      </c>
      <c r="H1242" s="20"/>
      <c r="I1242" s="19" t="str">
        <f>IF(ISNUMBER(G1242),E1242*G1242,"")</f>
        <v/>
      </c>
      <c r="J1242" s="24"/>
      <c r="K1242" s="19"/>
      <c r="L1242" s="174">
        <v>0</v>
      </c>
    </row>
    <row r="1243" spans="1:12" ht="15.75" hidden="1" thickBot="1" x14ac:dyDescent="0.3">
      <c r="A1243" s="181"/>
      <c r="B1243" s="179"/>
      <c r="C1243" s="25" t="s">
        <v>830</v>
      </c>
      <c r="D1243" s="36" t="s">
        <v>588</v>
      </c>
      <c r="E1243" s="26">
        <v>1</v>
      </c>
      <c r="F1243" s="27" t="s">
        <v>831</v>
      </c>
      <c r="G1243" s="23">
        <v>27.435999999999996</v>
      </c>
      <c r="H1243" s="27" t="s">
        <v>832</v>
      </c>
      <c r="I1243" s="23">
        <f>IF(ISNUMBER(G1243),E1243*G1243,"")</f>
        <v>27.435999999999996</v>
      </c>
      <c r="J1243" s="28">
        <f>SUM(I1243:I1246)</f>
        <v>31.454594999999998</v>
      </c>
      <c r="K1243" s="29"/>
      <c r="L1243" s="174">
        <v>0</v>
      </c>
    </row>
    <row r="1244" spans="1:12" ht="15.75" hidden="1" thickBot="1" x14ac:dyDescent="0.3">
      <c r="A1244" s="181"/>
      <c r="B1244" s="179"/>
      <c r="C1244" s="25" t="s">
        <v>748</v>
      </c>
      <c r="D1244" s="36" t="s">
        <v>588</v>
      </c>
      <c r="E1244" s="26">
        <v>0.04</v>
      </c>
      <c r="F1244" s="27" t="s">
        <v>831</v>
      </c>
      <c r="G1244" s="23">
        <v>2.8974999999999995</v>
      </c>
      <c r="H1244" s="27" t="s">
        <v>749</v>
      </c>
      <c r="I1244" s="23">
        <f>IF(ISNUMBER(G1244),E1244*G1244,"")</f>
        <v>0.11589999999999999</v>
      </c>
      <c r="J1244" s="24"/>
      <c r="K1244" s="19"/>
      <c r="L1244" s="174">
        <v>0</v>
      </c>
    </row>
    <row r="1245" spans="1:12" ht="15.75" hidden="1" thickBot="1" x14ac:dyDescent="0.3">
      <c r="A1245" s="181"/>
      <c r="B1245" s="179"/>
      <c r="C1245" s="25" t="s">
        <v>70</v>
      </c>
      <c r="D1245" s="36" t="s">
        <v>21</v>
      </c>
      <c r="E1245" s="26">
        <v>0.17</v>
      </c>
      <c r="F1245" s="27" t="s">
        <v>831</v>
      </c>
      <c r="G1245" s="19">
        <v>18.743500000000001</v>
      </c>
      <c r="H1245" s="27" t="s">
        <v>71</v>
      </c>
      <c r="I1245" s="23">
        <f>IF(ISNUMBER(G1245),E1245*G1245,"")</f>
        <v>3.1863950000000005</v>
      </c>
      <c r="J1245" s="24"/>
      <c r="K1245" s="19"/>
      <c r="L1245" s="174">
        <v>0</v>
      </c>
    </row>
    <row r="1246" spans="1:12" ht="15.75" hidden="1" thickBot="1" x14ac:dyDescent="0.3">
      <c r="A1246" s="181"/>
      <c r="B1246" s="179"/>
      <c r="C1246" s="25" t="s">
        <v>38</v>
      </c>
      <c r="D1246" s="36" t="s">
        <v>21</v>
      </c>
      <c r="E1246" s="26">
        <v>0.05</v>
      </c>
      <c r="F1246" s="27" t="s">
        <v>831</v>
      </c>
      <c r="G1246" s="19">
        <v>14.325999999999999</v>
      </c>
      <c r="H1246" s="27" t="s">
        <v>39</v>
      </c>
      <c r="I1246" s="23">
        <f>IF(ISNUMBER(G1246),E1246*G1246,"")</f>
        <v>0.71629999999999994</v>
      </c>
      <c r="J1246" s="24"/>
      <c r="K1246" s="19"/>
      <c r="L1246" s="174">
        <v>0</v>
      </c>
    </row>
    <row r="1247" spans="1:12" ht="15.75" hidden="1" thickBot="1" x14ac:dyDescent="0.3">
      <c r="A1247" s="182"/>
      <c r="B1247" s="183"/>
      <c r="C1247" s="25"/>
      <c r="D1247" s="25"/>
      <c r="E1247" s="26"/>
      <c r="F1247" s="27"/>
      <c r="G1247" s="19" t="s">
        <v>1079</v>
      </c>
      <c r="H1247" s="27"/>
      <c r="I1247" s="19" t="str">
        <f>IF(ISNUMBER(G1247),E1247*G1247,"")</f>
        <v/>
      </c>
      <c r="J1247" s="24"/>
      <c r="K1247" s="19"/>
      <c r="L1247" s="174">
        <v>0</v>
      </c>
    </row>
    <row r="1248" spans="1:12" ht="15.75" thickBot="1" x14ac:dyDescent="0.3">
      <c r="A1248" s="288" t="s">
        <v>833</v>
      </c>
      <c r="B1248" s="289" t="str">
        <f>INDEX(Orçamentária!A:B,MATCH(Composições!A1248,Orçamentária!A:A,0),2)</f>
        <v>Válvula de escoamento para tanque – Linha Administrativa</v>
      </c>
      <c r="C1248" s="274"/>
      <c r="D1248" s="265" t="str">
        <f>TRIM(INDEX(Orçamentária!C:C,MATCH(Composições!A1248,Orçamentária!A:A,0),1))</f>
        <v>un</v>
      </c>
      <c r="E1248" s="290"/>
      <c r="F1248" s="259" t="s">
        <v>834</v>
      </c>
      <c r="G1248" s="260" t="s">
        <v>1079</v>
      </c>
      <c r="H1248" s="261"/>
      <c r="I1248" s="261" t="str">
        <f>IF(ISNUMBER(G1248),E1248*G1248,"")</f>
        <v/>
      </c>
      <c r="J1248" s="280"/>
      <c r="K1248" s="18"/>
      <c r="L1248" s="174">
        <v>2</v>
      </c>
    </row>
    <row r="1249" spans="1:12" x14ac:dyDescent="0.25">
      <c r="A1249" s="291"/>
      <c r="B1249" s="292"/>
      <c r="C1249" s="155"/>
      <c r="D1249" s="155"/>
      <c r="E1249" s="293"/>
      <c r="F1249" s="294"/>
      <c r="G1249" s="262" t="s">
        <v>1079</v>
      </c>
      <c r="H1249" s="155"/>
      <c r="I1249" s="257" t="str">
        <f>IF(ISNUMBER(G1249),E1249*G1249,"")</f>
        <v/>
      </c>
      <c r="J1249" s="281"/>
      <c r="K1249" s="19"/>
      <c r="L1249" s="174">
        <v>2</v>
      </c>
    </row>
    <row r="1250" spans="1:12" x14ac:dyDescent="0.25">
      <c r="A1250" s="291"/>
      <c r="B1250" s="292"/>
      <c r="C1250" s="105" t="s">
        <v>748</v>
      </c>
      <c r="D1250" s="271" t="s">
        <v>588</v>
      </c>
      <c r="E1250" s="250">
        <v>0.04</v>
      </c>
      <c r="F1250" s="176" t="s">
        <v>835</v>
      </c>
      <c r="G1250" s="258">
        <v>2.8974999999999995</v>
      </c>
      <c r="H1250" s="176" t="s">
        <v>749</v>
      </c>
      <c r="I1250" s="258">
        <f>IF(ISNUMBER(G1250),E1250*G1250,"")</f>
        <v>0.11589999999999999</v>
      </c>
      <c r="J1250" s="295">
        <f>SUM(I1250:I1253)</f>
        <v>23.322595</v>
      </c>
      <c r="K1250" s="29"/>
      <c r="L1250" s="174">
        <v>2</v>
      </c>
    </row>
    <row r="1251" spans="1:12" x14ac:dyDescent="0.25">
      <c r="A1251" s="291"/>
      <c r="B1251" s="292"/>
      <c r="C1251" s="105" t="s">
        <v>836</v>
      </c>
      <c r="D1251" s="105" t="s">
        <v>32</v>
      </c>
      <c r="E1251" s="250">
        <v>1</v>
      </c>
      <c r="F1251" s="176" t="s">
        <v>835</v>
      </c>
      <c r="G1251" s="258">
        <v>19.303999999999998</v>
      </c>
      <c r="H1251" s="176" t="s">
        <v>837</v>
      </c>
      <c r="I1251" s="258">
        <f>IF(ISNUMBER(G1251),E1251*G1251,"")</f>
        <v>19.303999999999998</v>
      </c>
      <c r="J1251" s="281"/>
      <c r="K1251" s="19"/>
      <c r="L1251" s="174">
        <v>2</v>
      </c>
    </row>
    <row r="1252" spans="1:12" x14ac:dyDescent="0.25">
      <c r="A1252" s="291"/>
      <c r="B1252" s="292"/>
      <c r="C1252" s="105" t="s">
        <v>70</v>
      </c>
      <c r="D1252" s="271" t="s">
        <v>21</v>
      </c>
      <c r="E1252" s="250">
        <v>0.17</v>
      </c>
      <c r="F1252" s="176" t="s">
        <v>835</v>
      </c>
      <c r="G1252" s="257">
        <v>18.743500000000001</v>
      </c>
      <c r="H1252" s="176" t="s">
        <v>71</v>
      </c>
      <c r="I1252" s="258">
        <f>IF(ISNUMBER(G1252),E1252*G1252,"")</f>
        <v>3.1863950000000005</v>
      </c>
      <c r="J1252" s="281"/>
      <c r="K1252" s="19"/>
      <c r="L1252" s="174">
        <v>2</v>
      </c>
    </row>
    <row r="1253" spans="1:12" x14ac:dyDescent="0.25">
      <c r="A1253" s="291"/>
      <c r="B1253" s="292"/>
      <c r="C1253" s="105" t="s">
        <v>38</v>
      </c>
      <c r="D1253" s="105" t="s">
        <v>21</v>
      </c>
      <c r="E1253" s="250">
        <v>0.05</v>
      </c>
      <c r="F1253" s="176" t="s">
        <v>835</v>
      </c>
      <c r="G1253" s="257">
        <v>14.325999999999999</v>
      </c>
      <c r="H1253" s="176" t="s">
        <v>39</v>
      </c>
      <c r="I1253" s="258">
        <f>IF(ISNUMBER(G1253),E1253*G1253,"")</f>
        <v>0.71629999999999994</v>
      </c>
      <c r="J1253" s="281"/>
      <c r="K1253" s="19"/>
      <c r="L1253" s="174">
        <v>2</v>
      </c>
    </row>
    <row r="1254" spans="1:12" ht="15.75" thickBot="1" x14ac:dyDescent="0.3">
      <c r="A1254" s="296"/>
      <c r="B1254" s="297"/>
      <c r="C1254" s="105"/>
      <c r="D1254" s="105"/>
      <c r="E1254" s="250"/>
      <c r="F1254" s="176"/>
      <c r="G1254" s="257" t="s">
        <v>1079</v>
      </c>
      <c r="H1254" s="176"/>
      <c r="I1254" s="257" t="str">
        <f>IF(ISNUMBER(G1254),E1254*G1254,"")</f>
        <v/>
      </c>
      <c r="J1254" s="281"/>
      <c r="K1254" s="19"/>
      <c r="L1254" s="174">
        <v>2</v>
      </c>
    </row>
    <row r="1255" spans="1:12" ht="15.75" hidden="1" thickBot="1" x14ac:dyDescent="0.3">
      <c r="A1255" s="180" t="s">
        <v>838</v>
      </c>
      <c r="B1255" s="178" t="str">
        <f>INDEX(Orçamentária!A:B,MATCH(Composições!A1255,Orçamentária!A:A,0),2)</f>
        <v>Válvula descarga para mictório – Linha Administrativa</v>
      </c>
      <c r="C1255" s="30"/>
      <c r="D1255" s="13" t="str">
        <f>TRIM(INDEX(Orçamentária!C:C,MATCH(Composições!A1255,Orçamentária!A:A,0),1))</f>
        <v>un</v>
      </c>
      <c r="E1255" s="14"/>
      <c r="F1255" s="15" t="s">
        <v>816</v>
      </c>
      <c r="G1255" s="31" t="s">
        <v>1079</v>
      </c>
      <c r="H1255" s="16"/>
      <c r="I1255" s="16" t="str">
        <f>IF(ISNUMBER(G1255),E1255*G1255,"")</f>
        <v/>
      </c>
      <c r="J1255" s="17"/>
      <c r="K1255" s="18"/>
      <c r="L1255" s="174">
        <v>0</v>
      </c>
    </row>
    <row r="1256" spans="1:12" ht="15.75" hidden="1" thickBot="1" x14ac:dyDescent="0.3">
      <c r="A1256" s="181"/>
      <c r="B1256" s="179"/>
      <c r="C1256" s="20"/>
      <c r="D1256" s="20"/>
      <c r="E1256" s="21"/>
      <c r="F1256" s="22"/>
      <c r="G1256" s="32" t="s">
        <v>1079</v>
      </c>
      <c r="H1256" s="20"/>
      <c r="I1256" s="19" t="str">
        <f>IF(ISNUMBER(G1256),E1256*G1256,"")</f>
        <v/>
      </c>
      <c r="J1256" s="24"/>
      <c r="K1256" s="19"/>
      <c r="L1256" s="174">
        <v>0</v>
      </c>
    </row>
    <row r="1257" spans="1:12" ht="26.25" hidden="1" thickBot="1" x14ac:dyDescent="0.3">
      <c r="A1257" s="181"/>
      <c r="B1257" s="179"/>
      <c r="C1257" s="25" t="s">
        <v>839</v>
      </c>
      <c r="D1257" s="36" t="s">
        <v>588</v>
      </c>
      <c r="E1257" s="26">
        <v>1</v>
      </c>
      <c r="F1257" s="27" t="s">
        <v>818</v>
      </c>
      <c r="G1257" s="23">
        <v>146.10049999999998</v>
      </c>
      <c r="H1257" s="27" t="s">
        <v>840</v>
      </c>
      <c r="I1257" s="19">
        <f>IF(ISNUMBER(G1257),E1257*G1257,"")</f>
        <v>146.10049999999998</v>
      </c>
      <c r="J1257" s="28">
        <f>SUM(I1257:I1260)</f>
        <v>172.74750599999999</v>
      </c>
      <c r="K1257" s="29"/>
      <c r="L1257" s="174">
        <v>0</v>
      </c>
    </row>
    <row r="1258" spans="1:12" ht="15.75" hidden="1" thickBot="1" x14ac:dyDescent="0.3">
      <c r="A1258" s="181"/>
      <c r="B1258" s="179"/>
      <c r="C1258" s="25" t="s">
        <v>819</v>
      </c>
      <c r="D1258" s="41" t="s">
        <v>588</v>
      </c>
      <c r="E1258" s="26">
        <v>1.9E-2</v>
      </c>
      <c r="F1258" s="27" t="s">
        <v>818</v>
      </c>
      <c r="G1258" s="23">
        <v>10.677999999999999</v>
      </c>
      <c r="H1258" s="27" t="s">
        <v>690</v>
      </c>
      <c r="I1258" s="19">
        <f>IF(ISNUMBER(G1258),E1258*G1258,"")</f>
        <v>0.20288199999999998</v>
      </c>
      <c r="J1258" s="24"/>
      <c r="K1258" s="19"/>
      <c r="L1258" s="174">
        <v>0</v>
      </c>
    </row>
    <row r="1259" spans="1:12" ht="26.25" hidden="1" thickBot="1" x14ac:dyDescent="0.3">
      <c r="A1259" s="181"/>
      <c r="B1259" s="179"/>
      <c r="C1259" s="25" t="s">
        <v>224</v>
      </c>
      <c r="D1259" s="36" t="s">
        <v>21</v>
      </c>
      <c r="E1259" s="26">
        <v>0.78900000000000003</v>
      </c>
      <c r="F1259" s="27" t="s">
        <v>818</v>
      </c>
      <c r="G1259" s="19">
        <v>14.772500000000001</v>
      </c>
      <c r="H1259" s="27" t="s">
        <v>226</v>
      </c>
      <c r="I1259" s="19">
        <f>IF(ISNUMBER(G1259),E1259*G1259,"")</f>
        <v>11.655502500000001</v>
      </c>
      <c r="J1259" s="24"/>
      <c r="K1259" s="19"/>
      <c r="L1259" s="174">
        <v>0</v>
      </c>
    </row>
    <row r="1260" spans="1:12" ht="15.75" hidden="1" thickBot="1" x14ac:dyDescent="0.3">
      <c r="A1260" s="181"/>
      <c r="B1260" s="179"/>
      <c r="C1260" s="25" t="s">
        <v>70</v>
      </c>
      <c r="D1260" s="36" t="s">
        <v>21</v>
      </c>
      <c r="E1260" s="26">
        <v>0.78900000000000003</v>
      </c>
      <c r="F1260" s="27" t="s">
        <v>818</v>
      </c>
      <c r="G1260" s="19">
        <v>18.743500000000001</v>
      </c>
      <c r="H1260" s="27" t="s">
        <v>71</v>
      </c>
      <c r="I1260" s="23">
        <f>IF(ISNUMBER(G1260),E1260*G1260,"")</f>
        <v>14.788621500000001</v>
      </c>
      <c r="J1260" s="24"/>
      <c r="K1260" s="19"/>
      <c r="L1260" s="174">
        <v>0</v>
      </c>
    </row>
    <row r="1261" spans="1:12" ht="15.75" hidden="1" thickBot="1" x14ac:dyDescent="0.3">
      <c r="A1261" s="182"/>
      <c r="B1261" s="183"/>
      <c r="C1261" s="25"/>
      <c r="D1261" s="25"/>
      <c r="E1261" s="26"/>
      <c r="F1261" s="27"/>
      <c r="G1261" s="19" t="s">
        <v>1079</v>
      </c>
      <c r="H1261" s="27"/>
      <c r="I1261" s="19" t="str">
        <f>IF(ISNUMBER(G1261),E1261*G1261,"")</f>
        <v/>
      </c>
      <c r="J1261" s="24"/>
      <c r="K1261" s="19"/>
      <c r="L1261" s="174">
        <v>0</v>
      </c>
    </row>
    <row r="1262" spans="1:12" ht="15.75" hidden="1" thickBot="1" x14ac:dyDescent="0.3">
      <c r="A1262" s="180" t="s">
        <v>841</v>
      </c>
      <c r="B1262" s="178" t="str">
        <f>INDEX(Orçamentária!A:B,MATCH(Composições!A1262,Orçamentária!A:A,0),2)</f>
        <v>Alarme de emergência para sanitários PNE</v>
      </c>
      <c r="C1262" s="30"/>
      <c r="D1262" s="13" t="str">
        <f>TRIM(INDEX(Orçamentária!C:C,MATCH(Composições!A1262,Orçamentária!A:A,0),1))</f>
        <v>un</v>
      </c>
      <c r="E1262" s="14"/>
      <c r="F1262" s="15" t="s">
        <v>842</v>
      </c>
      <c r="G1262" s="31" t="s">
        <v>1079</v>
      </c>
      <c r="H1262" s="16"/>
      <c r="I1262" s="16" t="str">
        <f>IF(ISNUMBER(G1262),E1262*G1262,"")</f>
        <v/>
      </c>
      <c r="J1262" s="17"/>
      <c r="K1262" s="18"/>
      <c r="L1262" s="174">
        <v>0</v>
      </c>
    </row>
    <row r="1263" spans="1:12" ht="15.75" hidden="1" thickBot="1" x14ac:dyDescent="0.3">
      <c r="A1263" s="181"/>
      <c r="B1263" s="179"/>
      <c r="C1263" s="20"/>
      <c r="D1263" s="20"/>
      <c r="E1263" s="21"/>
      <c r="F1263" s="22"/>
      <c r="G1263" s="32" t="s">
        <v>1079</v>
      </c>
      <c r="H1263" s="20"/>
      <c r="I1263" s="19" t="str">
        <f>IF(ISNUMBER(G1263),E1263*G1263,"")</f>
        <v/>
      </c>
      <c r="J1263" s="24"/>
      <c r="K1263" s="19"/>
      <c r="L1263" s="174">
        <v>0</v>
      </c>
    </row>
    <row r="1264" spans="1:12" ht="15.75" hidden="1" thickBot="1" x14ac:dyDescent="0.3">
      <c r="A1264" s="181"/>
      <c r="B1264" s="179"/>
      <c r="C1264" s="25" t="s">
        <v>54</v>
      </c>
      <c r="D1264" s="25" t="s">
        <v>21</v>
      </c>
      <c r="E1264" s="26">
        <v>0.28999999999999998</v>
      </c>
      <c r="F1264" s="27" t="s">
        <v>843</v>
      </c>
      <c r="G1264" s="19">
        <v>19.313499999999998</v>
      </c>
      <c r="H1264" s="27" t="s">
        <v>55</v>
      </c>
      <c r="I1264" s="19">
        <f>IF(ISNUMBER(G1264),E1264*G1264,"")</f>
        <v>5.6009149999999988</v>
      </c>
      <c r="J1264" s="28">
        <f>SUM(I1264:I1266)</f>
        <v>10.014424999999999</v>
      </c>
      <c r="K1264" s="29"/>
      <c r="L1264" s="174">
        <v>0</v>
      </c>
    </row>
    <row r="1265" spans="1:12" ht="15.75" hidden="1" thickBot="1" x14ac:dyDescent="0.3">
      <c r="A1265" s="181"/>
      <c r="B1265" s="179"/>
      <c r="C1265" s="25" t="s">
        <v>144</v>
      </c>
      <c r="D1265" s="36" t="s">
        <v>21</v>
      </c>
      <c r="E1265" s="26">
        <v>0.28999999999999998</v>
      </c>
      <c r="F1265" s="27" t="s">
        <v>843</v>
      </c>
      <c r="G1265" s="19">
        <v>15.218999999999999</v>
      </c>
      <c r="H1265" s="27" t="s">
        <v>145</v>
      </c>
      <c r="I1265" s="19">
        <f>IF(ISNUMBER(G1265),E1265*G1265,"")</f>
        <v>4.4135099999999996</v>
      </c>
      <c r="J1265" s="24"/>
      <c r="K1265" s="19"/>
      <c r="L1265" s="174">
        <v>0</v>
      </c>
    </row>
    <row r="1266" spans="1:12" ht="26.25" hidden="1" thickBot="1" x14ac:dyDescent="0.3">
      <c r="A1266" s="181"/>
      <c r="B1266" s="179"/>
      <c r="C1266" s="25" t="s">
        <v>844</v>
      </c>
      <c r="D1266" s="25" t="s">
        <v>305</v>
      </c>
      <c r="E1266" s="26">
        <v>1</v>
      </c>
      <c r="F1266" s="27" t="s">
        <v>843</v>
      </c>
      <c r="G1266" s="23" t="s">
        <v>1079</v>
      </c>
      <c r="H1266" s="27" t="s">
        <v>33</v>
      </c>
      <c r="I1266" s="19" t="str">
        <f>IF(ISNUMBER(G1266),E1266*G1266,"")</f>
        <v/>
      </c>
      <c r="J1266" s="24"/>
      <c r="K1266" s="19"/>
      <c r="L1266" s="174">
        <v>0</v>
      </c>
    </row>
    <row r="1267" spans="1:12" ht="15.75" hidden="1" thickBot="1" x14ac:dyDescent="0.3">
      <c r="A1267" s="182"/>
      <c r="B1267" s="183"/>
      <c r="C1267" s="25"/>
      <c r="D1267" s="25"/>
      <c r="E1267" s="26"/>
      <c r="F1267" s="27"/>
      <c r="G1267" s="19" t="s">
        <v>1079</v>
      </c>
      <c r="H1267" s="27"/>
      <c r="I1267" s="19" t="str">
        <f>IF(ISNUMBER(G1267),E1267*G1267,"")</f>
        <v/>
      </c>
      <c r="J1267" s="24"/>
      <c r="K1267" s="19"/>
      <c r="L1267" s="174">
        <v>0</v>
      </c>
    </row>
    <row r="1268" spans="1:12" ht="15.75" hidden="1" thickBot="1" x14ac:dyDescent="0.3">
      <c r="A1268" s="180" t="s">
        <v>845</v>
      </c>
      <c r="B1268" s="178" t="str">
        <f>INDEX(Orçamentária!A:B,MATCH(Composições!A1268,Orçamentária!A:A,0),2)</f>
        <v>Barra de apoio 40cm – Linha Acessibilidade</v>
      </c>
      <c r="C1268" s="30"/>
      <c r="D1268" s="13" t="str">
        <f>TRIM(INDEX(Orçamentária!C:C,MATCH(Composições!A1268,Orçamentária!A:A,0),1))</f>
        <v>un</v>
      </c>
      <c r="E1268" s="14"/>
      <c r="F1268" s="15" t="s">
        <v>846</v>
      </c>
      <c r="G1268" s="31" t="s">
        <v>1079</v>
      </c>
      <c r="H1268" s="16"/>
      <c r="I1268" s="16" t="str">
        <f>IF(ISNUMBER(G1268),E1268*G1268,"")</f>
        <v/>
      </c>
      <c r="J1268" s="17"/>
      <c r="K1268" s="18"/>
      <c r="L1268" s="174">
        <v>0</v>
      </c>
    </row>
    <row r="1269" spans="1:12" ht="15.75" hidden="1" thickBot="1" x14ac:dyDescent="0.3">
      <c r="A1269" s="181"/>
      <c r="B1269" s="179"/>
      <c r="C1269" s="20"/>
      <c r="D1269" s="20"/>
      <c r="E1269" s="21"/>
      <c r="F1269" s="22"/>
      <c r="G1269" s="32" t="s">
        <v>1079</v>
      </c>
      <c r="H1269" s="20"/>
      <c r="I1269" s="19" t="str">
        <f>IF(ISNUMBER(G1269),E1269*G1269,"")</f>
        <v/>
      </c>
      <c r="J1269" s="24"/>
      <c r="K1269" s="19"/>
      <c r="L1269" s="174">
        <v>0</v>
      </c>
    </row>
    <row r="1270" spans="1:12" ht="26.25" hidden="1" thickBot="1" x14ac:dyDescent="0.3">
      <c r="A1270" s="181"/>
      <c r="B1270" s="179"/>
      <c r="C1270" s="25" t="s">
        <v>847</v>
      </c>
      <c r="D1270" s="36" t="s">
        <v>305</v>
      </c>
      <c r="E1270" s="26">
        <v>1</v>
      </c>
      <c r="F1270" s="27" t="s">
        <v>848</v>
      </c>
      <c r="G1270" s="23">
        <v>0</v>
      </c>
      <c r="H1270" s="27" t="s">
        <v>33</v>
      </c>
      <c r="I1270" s="23">
        <f>IF(ISNUMBER(G1270),E1270*G1270,"")</f>
        <v>0</v>
      </c>
      <c r="J1270" s="28">
        <f>SUM(I1270:I1273)</f>
        <v>36.3185</v>
      </c>
      <c r="K1270" s="29"/>
      <c r="L1270" s="174">
        <v>0</v>
      </c>
    </row>
    <row r="1271" spans="1:12" ht="26.25" hidden="1" thickBot="1" x14ac:dyDescent="0.3">
      <c r="A1271" s="181"/>
      <c r="B1271" s="179"/>
      <c r="C1271" s="25" t="s">
        <v>849</v>
      </c>
      <c r="D1271" s="36" t="s">
        <v>588</v>
      </c>
      <c r="E1271" s="26">
        <v>6</v>
      </c>
      <c r="F1271" s="27" t="s">
        <v>848</v>
      </c>
      <c r="G1271" s="23">
        <v>0.47499999999999998</v>
      </c>
      <c r="H1271" s="27" t="s">
        <v>850</v>
      </c>
      <c r="I1271" s="23">
        <f>IF(ISNUMBER(G1271),E1271*G1271,"")</f>
        <v>2.8499999999999996</v>
      </c>
      <c r="J1271" s="24"/>
      <c r="K1271" s="19"/>
      <c r="L1271" s="174">
        <v>0</v>
      </c>
    </row>
    <row r="1272" spans="1:12" ht="15.75" hidden="1" thickBot="1" x14ac:dyDescent="0.3">
      <c r="A1272" s="181"/>
      <c r="B1272" s="179"/>
      <c r="C1272" s="25" t="s">
        <v>36</v>
      </c>
      <c r="D1272" s="25" t="s">
        <v>21</v>
      </c>
      <c r="E1272" s="26">
        <v>1</v>
      </c>
      <c r="F1272" s="27" t="s">
        <v>848</v>
      </c>
      <c r="G1272" s="19">
        <v>19.142499999999998</v>
      </c>
      <c r="H1272" s="27" t="s">
        <v>37</v>
      </c>
      <c r="I1272" s="23">
        <f>IF(ISNUMBER(G1272),E1272*G1272,"")</f>
        <v>19.142499999999998</v>
      </c>
      <c r="J1272" s="24"/>
      <c r="K1272" s="19"/>
      <c r="L1272" s="174">
        <v>0</v>
      </c>
    </row>
    <row r="1273" spans="1:12" ht="15.75" hidden="1" thickBot="1" x14ac:dyDescent="0.3">
      <c r="A1273" s="181"/>
      <c r="B1273" s="179"/>
      <c r="C1273" s="25" t="s">
        <v>38</v>
      </c>
      <c r="D1273" s="25" t="s">
        <v>21</v>
      </c>
      <c r="E1273" s="26">
        <v>1</v>
      </c>
      <c r="F1273" s="27" t="s">
        <v>848</v>
      </c>
      <c r="G1273" s="19">
        <v>14.325999999999999</v>
      </c>
      <c r="H1273" s="27" t="s">
        <v>39</v>
      </c>
      <c r="I1273" s="23">
        <f>IF(ISNUMBER(G1273),E1273*G1273,"")</f>
        <v>14.325999999999999</v>
      </c>
      <c r="J1273" s="24"/>
      <c r="K1273" s="19"/>
      <c r="L1273" s="174">
        <v>0</v>
      </c>
    </row>
    <row r="1274" spans="1:12" ht="15.75" hidden="1" thickBot="1" x14ac:dyDescent="0.3">
      <c r="A1274" s="182"/>
      <c r="B1274" s="183"/>
      <c r="C1274" s="25"/>
      <c r="D1274" s="25"/>
      <c r="E1274" s="26"/>
      <c r="F1274" s="27"/>
      <c r="G1274" s="19" t="s">
        <v>1079</v>
      </c>
      <c r="H1274" s="27"/>
      <c r="I1274" s="19" t="str">
        <f>IF(ISNUMBER(G1274),E1274*G1274,"")</f>
        <v/>
      </c>
      <c r="J1274" s="24"/>
      <c r="K1274" s="19"/>
      <c r="L1274" s="174">
        <v>0</v>
      </c>
    </row>
    <row r="1275" spans="1:12" ht="15.75" hidden="1" thickBot="1" x14ac:dyDescent="0.3">
      <c r="A1275" s="180" t="s">
        <v>851</v>
      </c>
      <c r="B1275" s="178" t="str">
        <f>INDEX(Orçamentária!A:B,MATCH(Composições!A1275,Orçamentária!A:A,0),2)</f>
        <v>Barra de apoio 70cm – Linha Acessibilidade</v>
      </c>
      <c r="C1275" s="30"/>
      <c r="D1275" s="13" t="str">
        <f>TRIM(INDEX(Orçamentária!C:C,MATCH(Composições!A1275,Orçamentária!A:A,0),1))</f>
        <v>un</v>
      </c>
      <c r="E1275" s="14"/>
      <c r="F1275" s="15" t="s">
        <v>846</v>
      </c>
      <c r="G1275" s="31" t="s">
        <v>1079</v>
      </c>
      <c r="H1275" s="16"/>
      <c r="I1275" s="16" t="str">
        <f>IF(ISNUMBER(G1275),E1275*G1275,"")</f>
        <v/>
      </c>
      <c r="J1275" s="17"/>
      <c r="K1275" s="18"/>
      <c r="L1275" s="174">
        <v>0</v>
      </c>
    </row>
    <row r="1276" spans="1:12" ht="15.75" hidden="1" thickBot="1" x14ac:dyDescent="0.3">
      <c r="A1276" s="181"/>
      <c r="B1276" s="179"/>
      <c r="C1276" s="20"/>
      <c r="D1276" s="20"/>
      <c r="E1276" s="21"/>
      <c r="F1276" s="22"/>
      <c r="G1276" s="32" t="s">
        <v>1079</v>
      </c>
      <c r="H1276" s="20"/>
      <c r="I1276" s="19" t="str">
        <f>IF(ISNUMBER(G1276),E1276*G1276,"")</f>
        <v/>
      </c>
      <c r="J1276" s="24"/>
      <c r="K1276" s="19"/>
      <c r="L1276" s="174">
        <v>0</v>
      </c>
    </row>
    <row r="1277" spans="1:12" ht="26.25" hidden="1" thickBot="1" x14ac:dyDescent="0.3">
      <c r="A1277" s="181"/>
      <c r="B1277" s="179"/>
      <c r="C1277" s="25" t="s">
        <v>852</v>
      </c>
      <c r="D1277" s="36" t="s">
        <v>305</v>
      </c>
      <c r="E1277" s="26">
        <v>1</v>
      </c>
      <c r="F1277" s="27" t="s">
        <v>848</v>
      </c>
      <c r="G1277" s="23">
        <v>135.06</v>
      </c>
      <c r="H1277" s="27" t="s">
        <v>33</v>
      </c>
      <c r="I1277" s="23">
        <f>IF(ISNUMBER(G1277),E1277*G1277,"")</f>
        <v>135.06</v>
      </c>
      <c r="J1277" s="28">
        <f>SUM(I1277:I1280)</f>
        <v>171.3785</v>
      </c>
      <c r="K1277" s="29"/>
      <c r="L1277" s="174">
        <v>0</v>
      </c>
    </row>
    <row r="1278" spans="1:12" ht="26.25" hidden="1" thickBot="1" x14ac:dyDescent="0.3">
      <c r="A1278" s="181"/>
      <c r="B1278" s="179"/>
      <c r="C1278" s="25" t="s">
        <v>849</v>
      </c>
      <c r="D1278" s="36" t="s">
        <v>588</v>
      </c>
      <c r="E1278" s="26">
        <v>6</v>
      </c>
      <c r="F1278" s="27" t="s">
        <v>848</v>
      </c>
      <c r="G1278" s="23">
        <v>0.47499999999999998</v>
      </c>
      <c r="H1278" s="27" t="s">
        <v>850</v>
      </c>
      <c r="I1278" s="23">
        <f>IF(ISNUMBER(G1278),E1278*G1278,"")</f>
        <v>2.8499999999999996</v>
      </c>
      <c r="J1278" s="24"/>
      <c r="K1278" s="19"/>
      <c r="L1278" s="174">
        <v>0</v>
      </c>
    </row>
    <row r="1279" spans="1:12" ht="15.75" hidden="1" thickBot="1" x14ac:dyDescent="0.3">
      <c r="A1279" s="181"/>
      <c r="B1279" s="179"/>
      <c r="C1279" s="25" t="s">
        <v>36</v>
      </c>
      <c r="D1279" s="25" t="s">
        <v>21</v>
      </c>
      <c r="E1279" s="26">
        <v>1</v>
      </c>
      <c r="F1279" s="27" t="s">
        <v>848</v>
      </c>
      <c r="G1279" s="19">
        <v>19.142499999999998</v>
      </c>
      <c r="H1279" s="27" t="s">
        <v>37</v>
      </c>
      <c r="I1279" s="23">
        <f>IF(ISNUMBER(G1279),E1279*G1279,"")</f>
        <v>19.142499999999998</v>
      </c>
      <c r="J1279" s="24"/>
      <c r="K1279" s="19"/>
      <c r="L1279" s="174">
        <v>0</v>
      </c>
    </row>
    <row r="1280" spans="1:12" ht="15.75" hidden="1" thickBot="1" x14ac:dyDescent="0.3">
      <c r="A1280" s="181"/>
      <c r="B1280" s="179"/>
      <c r="C1280" s="25" t="s">
        <v>38</v>
      </c>
      <c r="D1280" s="25" t="s">
        <v>21</v>
      </c>
      <c r="E1280" s="26">
        <v>1</v>
      </c>
      <c r="F1280" s="27" t="s">
        <v>848</v>
      </c>
      <c r="G1280" s="19">
        <v>14.325999999999999</v>
      </c>
      <c r="H1280" s="27" t="s">
        <v>39</v>
      </c>
      <c r="I1280" s="23">
        <f>IF(ISNUMBER(G1280),E1280*G1280,"")</f>
        <v>14.325999999999999</v>
      </c>
      <c r="J1280" s="24"/>
      <c r="K1280" s="19"/>
      <c r="L1280" s="174">
        <v>0</v>
      </c>
    </row>
    <row r="1281" spans="1:12" ht="15.75" hidden="1" thickBot="1" x14ac:dyDescent="0.3">
      <c r="A1281" s="182"/>
      <c r="B1281" s="183"/>
      <c r="C1281" s="25"/>
      <c r="D1281" s="25"/>
      <c r="E1281" s="26"/>
      <c r="F1281" s="27"/>
      <c r="G1281" s="19" t="s">
        <v>1079</v>
      </c>
      <c r="H1281" s="27"/>
      <c r="I1281" s="19" t="str">
        <f>IF(ISNUMBER(G1281),E1281*G1281,"")</f>
        <v/>
      </c>
      <c r="J1281" s="24"/>
      <c r="K1281" s="19"/>
      <c r="L1281" s="174">
        <v>0</v>
      </c>
    </row>
    <row r="1282" spans="1:12" ht="15.75" hidden="1" thickBot="1" x14ac:dyDescent="0.3">
      <c r="A1282" s="180" t="s">
        <v>853</v>
      </c>
      <c r="B1282" s="178" t="str">
        <f>INDEX(Orçamentária!A:B,MATCH(Composições!A1282,Orçamentária!A:A,0),2)</f>
        <v>Barra de apoio 80cm – Linha Acessibilidade</v>
      </c>
      <c r="C1282" s="30"/>
      <c r="D1282" s="13" t="str">
        <f>TRIM(INDEX(Orçamentária!C:C,MATCH(Composições!A1282,Orçamentária!A:A,0),1))</f>
        <v>un</v>
      </c>
      <c r="E1282" s="14"/>
      <c r="F1282" s="15" t="s">
        <v>846</v>
      </c>
      <c r="G1282" s="31" t="s">
        <v>1079</v>
      </c>
      <c r="H1282" s="16"/>
      <c r="I1282" s="16" t="str">
        <f>IF(ISNUMBER(G1282),E1282*G1282,"")</f>
        <v/>
      </c>
      <c r="J1282" s="17"/>
      <c r="K1282" s="18"/>
      <c r="L1282" s="174">
        <v>0</v>
      </c>
    </row>
    <row r="1283" spans="1:12" ht="15.75" hidden="1" thickBot="1" x14ac:dyDescent="0.3">
      <c r="A1283" s="181"/>
      <c r="B1283" s="179"/>
      <c r="C1283" s="20"/>
      <c r="D1283" s="20"/>
      <c r="E1283" s="21"/>
      <c r="F1283" s="22"/>
      <c r="G1283" s="32" t="s">
        <v>1079</v>
      </c>
      <c r="H1283" s="20"/>
      <c r="I1283" s="19" t="str">
        <f>IF(ISNUMBER(G1283),E1283*G1283,"")</f>
        <v/>
      </c>
      <c r="J1283" s="24"/>
      <c r="K1283" s="19"/>
      <c r="L1283" s="174">
        <v>0</v>
      </c>
    </row>
    <row r="1284" spans="1:12" ht="26.25" hidden="1" thickBot="1" x14ac:dyDescent="0.3">
      <c r="A1284" s="181"/>
      <c r="B1284" s="179"/>
      <c r="C1284" s="25" t="s">
        <v>854</v>
      </c>
      <c r="D1284" s="36" t="s">
        <v>305</v>
      </c>
      <c r="E1284" s="26">
        <v>1</v>
      </c>
      <c r="F1284" s="27" t="s">
        <v>848</v>
      </c>
      <c r="G1284" s="23">
        <v>144.01</v>
      </c>
      <c r="H1284" s="27" t="s">
        <v>33</v>
      </c>
      <c r="I1284" s="23">
        <f>IF(ISNUMBER(G1284),E1284*G1284,"")</f>
        <v>144.01</v>
      </c>
      <c r="J1284" s="28">
        <f>SUM(I1284:I1287)</f>
        <v>180.32849999999999</v>
      </c>
      <c r="K1284" s="29"/>
      <c r="L1284" s="174">
        <v>0</v>
      </c>
    </row>
    <row r="1285" spans="1:12" ht="26.25" hidden="1" thickBot="1" x14ac:dyDescent="0.3">
      <c r="A1285" s="181"/>
      <c r="B1285" s="179"/>
      <c r="C1285" s="25" t="s">
        <v>849</v>
      </c>
      <c r="D1285" s="36" t="s">
        <v>588</v>
      </c>
      <c r="E1285" s="26">
        <v>6</v>
      </c>
      <c r="F1285" s="27" t="s">
        <v>848</v>
      </c>
      <c r="G1285" s="23">
        <v>0.47499999999999998</v>
      </c>
      <c r="H1285" s="27" t="s">
        <v>850</v>
      </c>
      <c r="I1285" s="23">
        <f>IF(ISNUMBER(G1285),E1285*G1285,"")</f>
        <v>2.8499999999999996</v>
      </c>
      <c r="J1285" s="24"/>
      <c r="K1285" s="19"/>
      <c r="L1285" s="174">
        <v>0</v>
      </c>
    </row>
    <row r="1286" spans="1:12" ht="15.75" hidden="1" thickBot="1" x14ac:dyDescent="0.3">
      <c r="A1286" s="181"/>
      <c r="B1286" s="179"/>
      <c r="C1286" s="25" t="s">
        <v>36</v>
      </c>
      <c r="D1286" s="25" t="s">
        <v>21</v>
      </c>
      <c r="E1286" s="26">
        <v>1</v>
      </c>
      <c r="F1286" s="27" t="s">
        <v>848</v>
      </c>
      <c r="G1286" s="19">
        <v>19.142499999999998</v>
      </c>
      <c r="H1286" s="27" t="s">
        <v>37</v>
      </c>
      <c r="I1286" s="23">
        <f>IF(ISNUMBER(G1286),E1286*G1286,"")</f>
        <v>19.142499999999998</v>
      </c>
      <c r="J1286" s="24"/>
      <c r="K1286" s="19"/>
      <c r="L1286" s="174">
        <v>0</v>
      </c>
    </row>
    <row r="1287" spans="1:12" ht="15.75" hidden="1" thickBot="1" x14ac:dyDescent="0.3">
      <c r="A1287" s="181"/>
      <c r="B1287" s="179"/>
      <c r="C1287" s="25" t="s">
        <v>38</v>
      </c>
      <c r="D1287" s="25" t="s">
        <v>21</v>
      </c>
      <c r="E1287" s="26">
        <v>1</v>
      </c>
      <c r="F1287" s="27" t="s">
        <v>848</v>
      </c>
      <c r="G1287" s="19">
        <v>14.325999999999999</v>
      </c>
      <c r="H1287" s="27" t="s">
        <v>39</v>
      </c>
      <c r="I1287" s="23">
        <f>IF(ISNUMBER(G1287),E1287*G1287,"")</f>
        <v>14.325999999999999</v>
      </c>
      <c r="J1287" s="24"/>
      <c r="K1287" s="19"/>
      <c r="L1287" s="174">
        <v>0</v>
      </c>
    </row>
    <row r="1288" spans="1:12" ht="15.75" hidden="1" thickBot="1" x14ac:dyDescent="0.3">
      <c r="A1288" s="182"/>
      <c r="B1288" s="183"/>
      <c r="C1288" s="25"/>
      <c r="D1288" s="25"/>
      <c r="E1288" s="26"/>
      <c r="F1288" s="27"/>
      <c r="G1288" s="19" t="s">
        <v>1079</v>
      </c>
      <c r="H1288" s="27"/>
      <c r="I1288" s="19" t="str">
        <f>IF(ISNUMBER(G1288),E1288*G1288,"")</f>
        <v/>
      </c>
      <c r="J1288" s="24"/>
      <c r="K1288" s="19"/>
      <c r="L1288" s="174">
        <v>0</v>
      </c>
    </row>
    <row r="1289" spans="1:12" ht="15.75" hidden="1" thickBot="1" x14ac:dyDescent="0.3">
      <c r="A1289" s="180" t="s">
        <v>855</v>
      </c>
      <c r="B1289" s="178" t="str">
        <f>INDEX(Orçamentária!A:B,MATCH(Composições!A1289,Orçamentária!A:A,0),2)</f>
        <v>Barra de apoio lateral fixa 30cm – Linha Acessibilidade</v>
      </c>
      <c r="C1289" s="30"/>
      <c r="D1289" s="13" t="str">
        <f>TRIM(INDEX(Orçamentária!C:C,MATCH(Composições!A1289,Orçamentária!A:A,0),1))</f>
        <v>un</v>
      </c>
      <c r="E1289" s="14"/>
      <c r="F1289" s="15" t="s">
        <v>846</v>
      </c>
      <c r="G1289" s="31" t="s">
        <v>1079</v>
      </c>
      <c r="H1289" s="16"/>
      <c r="I1289" s="16" t="str">
        <f>IF(ISNUMBER(G1289),E1289*G1289,"")</f>
        <v/>
      </c>
      <c r="J1289" s="17"/>
      <c r="K1289" s="18"/>
      <c r="L1289" s="174">
        <v>0</v>
      </c>
    </row>
    <row r="1290" spans="1:12" ht="15.75" hidden="1" thickBot="1" x14ac:dyDescent="0.3">
      <c r="A1290" s="181"/>
      <c r="B1290" s="179"/>
      <c r="C1290" s="20"/>
      <c r="D1290" s="20"/>
      <c r="E1290" s="21"/>
      <c r="F1290" s="22"/>
      <c r="G1290" s="32" t="s">
        <v>1079</v>
      </c>
      <c r="H1290" s="20"/>
      <c r="I1290" s="19" t="str">
        <f>IF(ISNUMBER(G1290),E1290*G1290,"")</f>
        <v/>
      </c>
      <c r="J1290" s="24"/>
      <c r="K1290" s="19"/>
      <c r="L1290" s="174">
        <v>0</v>
      </c>
    </row>
    <row r="1291" spans="1:12" ht="15.75" hidden="1" thickBot="1" x14ac:dyDescent="0.3">
      <c r="A1291" s="181"/>
      <c r="B1291" s="179"/>
      <c r="C1291" s="25" t="s">
        <v>36</v>
      </c>
      <c r="D1291" s="25" t="s">
        <v>21</v>
      </c>
      <c r="E1291" s="26">
        <v>1</v>
      </c>
      <c r="F1291" s="27" t="s">
        <v>848</v>
      </c>
      <c r="G1291" s="19">
        <v>19.142499999999998</v>
      </c>
      <c r="H1291" s="27" t="s">
        <v>37</v>
      </c>
      <c r="I1291" s="23">
        <f>IF(ISNUMBER(G1291),E1291*G1291,"")</f>
        <v>19.142499999999998</v>
      </c>
      <c r="J1291" s="28">
        <f>SUM(I1291:I1294)</f>
        <v>36.3185</v>
      </c>
      <c r="K1291" s="29"/>
      <c r="L1291" s="174">
        <v>0</v>
      </c>
    </row>
    <row r="1292" spans="1:12" ht="15.75" hidden="1" thickBot="1" x14ac:dyDescent="0.3">
      <c r="A1292" s="181"/>
      <c r="B1292" s="179"/>
      <c r="C1292" s="25" t="s">
        <v>38</v>
      </c>
      <c r="D1292" s="25" t="s">
        <v>21</v>
      </c>
      <c r="E1292" s="26">
        <v>1</v>
      </c>
      <c r="F1292" s="27" t="s">
        <v>848</v>
      </c>
      <c r="G1292" s="19">
        <v>14.325999999999999</v>
      </c>
      <c r="H1292" s="27" t="s">
        <v>39</v>
      </c>
      <c r="I1292" s="23">
        <f>IF(ISNUMBER(G1292),E1292*G1292,"")</f>
        <v>14.325999999999999</v>
      </c>
      <c r="J1292" s="24"/>
      <c r="K1292" s="19"/>
      <c r="L1292" s="174">
        <v>0</v>
      </c>
    </row>
    <row r="1293" spans="1:12" ht="26.25" hidden="1" thickBot="1" x14ac:dyDescent="0.3">
      <c r="A1293" s="181"/>
      <c r="B1293" s="179"/>
      <c r="C1293" s="25" t="s">
        <v>856</v>
      </c>
      <c r="D1293" s="25" t="s">
        <v>32</v>
      </c>
      <c r="E1293" s="26">
        <v>1</v>
      </c>
      <c r="F1293" s="27" t="s">
        <v>857</v>
      </c>
      <c r="G1293" s="23" t="s">
        <v>1079</v>
      </c>
      <c r="H1293" s="27" t="s">
        <v>33</v>
      </c>
      <c r="I1293" s="19" t="str">
        <f>IF(ISNUMBER(G1293),E1293*G1293,"")</f>
        <v/>
      </c>
      <c r="J1293" s="24"/>
      <c r="K1293" s="19"/>
      <c r="L1293" s="174">
        <v>0</v>
      </c>
    </row>
    <row r="1294" spans="1:12" ht="26.25" hidden="1" thickBot="1" x14ac:dyDescent="0.3">
      <c r="A1294" s="181"/>
      <c r="B1294" s="179"/>
      <c r="C1294" s="25" t="s">
        <v>849</v>
      </c>
      <c r="D1294" s="36" t="s">
        <v>588</v>
      </c>
      <c r="E1294" s="26">
        <v>6</v>
      </c>
      <c r="F1294" s="27" t="s">
        <v>848</v>
      </c>
      <c r="G1294" s="23">
        <v>0.47499999999999998</v>
      </c>
      <c r="H1294" s="27" t="s">
        <v>850</v>
      </c>
      <c r="I1294" s="23">
        <f>IF(ISNUMBER(G1294),E1294*G1294,"")</f>
        <v>2.8499999999999996</v>
      </c>
      <c r="J1294" s="24"/>
      <c r="K1294" s="19"/>
      <c r="L1294" s="174">
        <v>0</v>
      </c>
    </row>
    <row r="1295" spans="1:12" ht="15.75" hidden="1" thickBot="1" x14ac:dyDescent="0.3">
      <c r="A1295" s="182"/>
      <c r="B1295" s="183"/>
      <c r="C1295" s="25"/>
      <c r="D1295" s="25"/>
      <c r="E1295" s="26"/>
      <c r="F1295" s="27"/>
      <c r="G1295" s="19" t="s">
        <v>1079</v>
      </c>
      <c r="H1295" s="27"/>
      <c r="I1295" s="19" t="str">
        <f>IF(ISNUMBER(G1295),E1295*G1295,"")</f>
        <v/>
      </c>
      <c r="J1295" s="24"/>
      <c r="K1295" s="19"/>
      <c r="L1295" s="174">
        <v>0</v>
      </c>
    </row>
    <row r="1296" spans="1:12" ht="15.75" hidden="1" thickBot="1" x14ac:dyDescent="0.3">
      <c r="A1296" s="180" t="s">
        <v>858</v>
      </c>
      <c r="B1296" s="178" t="str">
        <f>INDEX(Orçamentária!A:B,MATCH(Composições!A1296,Orçamentária!A:A,0),2)</f>
        <v>Lavatório suspenso – Linha Acessibilidade</v>
      </c>
      <c r="C1296" s="30"/>
      <c r="D1296" s="13" t="str">
        <f>TRIM(INDEX(Orçamentária!C:C,MATCH(Composições!A1296,Orçamentária!A:A,0),1))</f>
        <v>un</v>
      </c>
      <c r="E1296" s="14"/>
      <c r="F1296" s="15" t="s">
        <v>741</v>
      </c>
      <c r="G1296" s="31" t="s">
        <v>1079</v>
      </c>
      <c r="H1296" s="16"/>
      <c r="I1296" s="16" t="str">
        <f>IF(ISNUMBER(G1296),E1296*G1296,"")</f>
        <v/>
      </c>
      <c r="J1296" s="17"/>
      <c r="K1296" s="18"/>
      <c r="L1296" s="174">
        <v>0</v>
      </c>
    </row>
    <row r="1297" spans="1:12" ht="15.75" hidden="1" thickBot="1" x14ac:dyDescent="0.3">
      <c r="A1297" s="181"/>
      <c r="B1297" s="179"/>
      <c r="C1297" s="20"/>
      <c r="D1297" s="20"/>
      <c r="E1297" s="21"/>
      <c r="F1297" s="22"/>
      <c r="G1297" s="32" t="s">
        <v>1079</v>
      </c>
      <c r="H1297" s="20"/>
      <c r="I1297" s="19" t="str">
        <f>IF(ISNUMBER(G1297),E1297*G1297,"")</f>
        <v/>
      </c>
      <c r="J1297" s="24"/>
      <c r="K1297" s="19"/>
      <c r="L1297" s="174">
        <v>0</v>
      </c>
    </row>
    <row r="1298" spans="1:12" ht="26.25" hidden="1" thickBot="1" x14ac:dyDescent="0.3">
      <c r="A1298" s="181"/>
      <c r="B1298" s="179"/>
      <c r="C1298" s="25" t="s">
        <v>859</v>
      </c>
      <c r="D1298" s="36" t="s">
        <v>305</v>
      </c>
      <c r="E1298" s="26">
        <v>1</v>
      </c>
      <c r="F1298" s="27" t="s">
        <v>743</v>
      </c>
      <c r="G1298" s="23" t="s">
        <v>1079</v>
      </c>
      <c r="H1298" s="27" t="s">
        <v>33</v>
      </c>
      <c r="I1298" s="23" t="str">
        <f>IF(ISNUMBER(G1298),E1298*G1298,"")</f>
        <v/>
      </c>
      <c r="J1298" s="28">
        <f>SUM(I1298:I1302)</f>
        <v>36.609872599999996</v>
      </c>
      <c r="K1298" s="29"/>
      <c r="L1298" s="174">
        <v>0</v>
      </c>
    </row>
    <row r="1299" spans="1:12" ht="26.25" hidden="1" thickBot="1" x14ac:dyDescent="0.3">
      <c r="A1299" s="181"/>
      <c r="B1299" s="179"/>
      <c r="C1299" s="25" t="s">
        <v>742</v>
      </c>
      <c r="D1299" s="36" t="s">
        <v>588</v>
      </c>
      <c r="E1299" s="26">
        <v>2</v>
      </c>
      <c r="F1299" s="27" t="s">
        <v>743</v>
      </c>
      <c r="G1299" s="23">
        <v>12.435499999999999</v>
      </c>
      <c r="H1299" s="27" t="s">
        <v>744</v>
      </c>
      <c r="I1299" s="23">
        <f>IF(ISNUMBER(G1299),E1299*G1299,"")</f>
        <v>24.870999999999999</v>
      </c>
      <c r="J1299" s="24"/>
      <c r="K1299" s="19"/>
      <c r="L1299" s="174">
        <v>0</v>
      </c>
    </row>
    <row r="1300" spans="1:12" ht="15.75" hidden="1" thickBot="1" x14ac:dyDescent="0.3">
      <c r="A1300" s="181"/>
      <c r="B1300" s="179"/>
      <c r="C1300" s="25" t="s">
        <v>524</v>
      </c>
      <c r="D1300" s="36" t="s">
        <v>75</v>
      </c>
      <c r="E1300" s="26">
        <v>5.0700000000000002E-2</v>
      </c>
      <c r="F1300" s="27" t="s">
        <v>743</v>
      </c>
      <c r="G1300" s="23">
        <v>33.667999999999999</v>
      </c>
      <c r="H1300" s="27" t="s">
        <v>525</v>
      </c>
      <c r="I1300" s="23">
        <f>IF(ISNUMBER(G1300),E1300*G1300,"")</f>
        <v>1.7069676</v>
      </c>
      <c r="J1300" s="24"/>
      <c r="K1300" s="19"/>
      <c r="L1300" s="174">
        <v>0</v>
      </c>
    </row>
    <row r="1301" spans="1:12" ht="15.75" hidden="1" thickBot="1" x14ac:dyDescent="0.3">
      <c r="A1301" s="181"/>
      <c r="B1301" s="179"/>
      <c r="C1301" s="25" t="s">
        <v>70</v>
      </c>
      <c r="D1301" s="36" t="s">
        <v>21</v>
      </c>
      <c r="E1301" s="26">
        <v>0.39</v>
      </c>
      <c r="F1301" s="27" t="s">
        <v>743</v>
      </c>
      <c r="G1301" s="19">
        <v>18.743500000000001</v>
      </c>
      <c r="H1301" s="27" t="s">
        <v>71</v>
      </c>
      <c r="I1301" s="23">
        <f>IF(ISNUMBER(G1301),E1301*G1301,"")</f>
        <v>7.3099650000000009</v>
      </c>
      <c r="J1301" s="24"/>
      <c r="K1301" s="19"/>
      <c r="L1301" s="174">
        <v>0</v>
      </c>
    </row>
    <row r="1302" spans="1:12" ht="15.75" hidden="1" thickBot="1" x14ac:dyDescent="0.3">
      <c r="A1302" s="181"/>
      <c r="B1302" s="179"/>
      <c r="C1302" s="25" t="s">
        <v>38</v>
      </c>
      <c r="D1302" s="36" t="s">
        <v>21</v>
      </c>
      <c r="E1302" s="26">
        <v>0.19</v>
      </c>
      <c r="F1302" s="27" t="s">
        <v>743</v>
      </c>
      <c r="G1302" s="19">
        <v>14.325999999999999</v>
      </c>
      <c r="H1302" s="27" t="s">
        <v>39</v>
      </c>
      <c r="I1302" s="23">
        <f>IF(ISNUMBER(G1302),E1302*G1302,"")</f>
        <v>2.7219399999999996</v>
      </c>
      <c r="J1302" s="24"/>
      <c r="K1302" s="19"/>
      <c r="L1302" s="174">
        <v>0</v>
      </c>
    </row>
    <row r="1303" spans="1:12" ht="15.75" hidden="1" thickBot="1" x14ac:dyDescent="0.3">
      <c r="A1303" s="182"/>
      <c r="B1303" s="183"/>
      <c r="C1303" s="25"/>
      <c r="D1303" s="25"/>
      <c r="E1303" s="26"/>
      <c r="F1303" s="27"/>
      <c r="G1303" s="19" t="s">
        <v>1079</v>
      </c>
      <c r="H1303" s="27"/>
      <c r="I1303" s="19" t="str">
        <f>IF(ISNUMBER(G1303),E1303*G1303,"")</f>
        <v/>
      </c>
      <c r="J1303" s="24"/>
      <c r="K1303" s="19"/>
      <c r="L1303" s="174">
        <v>0</v>
      </c>
    </row>
    <row r="1304" spans="1:12" ht="15.75" hidden="1" thickBot="1" x14ac:dyDescent="0.3">
      <c r="A1304" s="180" t="s">
        <v>860</v>
      </c>
      <c r="B1304" s="178" t="str">
        <f>INDEX(Orçamentária!A:B,MATCH(Composições!A1304,Orçamentária!A:A,0),2)</f>
        <v>Lavatório suspenso com Coluna – Linha Acessibilidade</v>
      </c>
      <c r="C1304" s="30"/>
      <c r="D1304" s="13" t="str">
        <f>TRIM(INDEX(Orçamentária!C:C,MATCH(Composições!A1304,Orçamentária!A:A,0),1))</f>
        <v>un</v>
      </c>
      <c r="E1304" s="14"/>
      <c r="F1304" s="15" t="s">
        <v>861</v>
      </c>
      <c r="G1304" s="31" t="s">
        <v>1079</v>
      </c>
      <c r="H1304" s="16"/>
      <c r="I1304" s="16" t="str">
        <f>IF(ISNUMBER(G1304),E1304*G1304,"")</f>
        <v/>
      </c>
      <c r="J1304" s="17"/>
      <c r="K1304" s="18"/>
      <c r="L1304" s="174">
        <v>0</v>
      </c>
    </row>
    <row r="1305" spans="1:12" ht="15.75" hidden="1" thickBot="1" x14ac:dyDescent="0.3">
      <c r="A1305" s="181"/>
      <c r="B1305" s="179"/>
      <c r="C1305" s="20"/>
      <c r="D1305" s="20"/>
      <c r="E1305" s="21"/>
      <c r="F1305" s="22"/>
      <c r="G1305" s="32" t="s">
        <v>1079</v>
      </c>
      <c r="H1305" s="20"/>
      <c r="I1305" s="19" t="str">
        <f>IF(ISNUMBER(G1305),E1305*G1305,"")</f>
        <v/>
      </c>
      <c r="J1305" s="24"/>
      <c r="K1305" s="19"/>
      <c r="L1305" s="174">
        <v>0</v>
      </c>
    </row>
    <row r="1306" spans="1:12" ht="15.75" hidden="1" thickBot="1" x14ac:dyDescent="0.3">
      <c r="A1306" s="181"/>
      <c r="B1306" s="179"/>
      <c r="C1306" s="25" t="s">
        <v>70</v>
      </c>
      <c r="D1306" s="36" t="s">
        <v>21</v>
      </c>
      <c r="E1306" s="26">
        <v>1.47</v>
      </c>
      <c r="F1306" s="27" t="s">
        <v>862</v>
      </c>
      <c r="G1306" s="19">
        <v>18.743500000000001</v>
      </c>
      <c r="H1306" s="27" t="s">
        <v>71</v>
      </c>
      <c r="I1306" s="23">
        <f>IF(ISNUMBER(G1306),E1306*G1306,"")</f>
        <v>27.552945000000001</v>
      </c>
      <c r="J1306" s="28">
        <f>SUM(I1306:I1311)</f>
        <v>113.1848126</v>
      </c>
      <c r="K1306" s="29"/>
      <c r="L1306" s="174">
        <v>0</v>
      </c>
    </row>
    <row r="1307" spans="1:12" ht="15.75" hidden="1" thickBot="1" x14ac:dyDescent="0.3">
      <c r="A1307" s="181"/>
      <c r="B1307" s="179"/>
      <c r="C1307" s="25" t="s">
        <v>38</v>
      </c>
      <c r="D1307" s="36" t="s">
        <v>21</v>
      </c>
      <c r="E1307" s="26">
        <v>0.65</v>
      </c>
      <c r="F1307" s="27" t="s">
        <v>862</v>
      </c>
      <c r="G1307" s="19">
        <v>14.325999999999999</v>
      </c>
      <c r="H1307" s="27" t="s">
        <v>39</v>
      </c>
      <c r="I1307" s="23">
        <f>IF(ISNUMBER(G1307),E1307*G1307,"")</f>
        <v>9.3118999999999996</v>
      </c>
      <c r="J1307" s="24"/>
      <c r="K1307" s="19"/>
      <c r="L1307" s="174">
        <v>0</v>
      </c>
    </row>
    <row r="1308" spans="1:12" ht="26.25" hidden="1" thickBot="1" x14ac:dyDescent="0.3">
      <c r="A1308" s="181"/>
      <c r="B1308" s="179"/>
      <c r="C1308" s="25" t="s">
        <v>859</v>
      </c>
      <c r="D1308" s="36" t="s">
        <v>305</v>
      </c>
      <c r="E1308" s="26">
        <v>1</v>
      </c>
      <c r="F1308" s="27" t="s">
        <v>862</v>
      </c>
      <c r="G1308" s="23" t="s">
        <v>1079</v>
      </c>
      <c r="H1308" s="27" t="s">
        <v>33</v>
      </c>
      <c r="I1308" s="23" t="str">
        <f>IF(ISNUMBER(G1308),E1308*G1308,"")</f>
        <v/>
      </c>
      <c r="J1308" s="24"/>
      <c r="K1308" s="19"/>
      <c r="L1308" s="174">
        <v>0</v>
      </c>
    </row>
    <row r="1309" spans="1:12" ht="26.25" hidden="1" thickBot="1" x14ac:dyDescent="0.3">
      <c r="A1309" s="181"/>
      <c r="B1309" s="179"/>
      <c r="C1309" s="25" t="s">
        <v>742</v>
      </c>
      <c r="D1309" s="36" t="s">
        <v>588</v>
      </c>
      <c r="E1309" s="26">
        <v>6</v>
      </c>
      <c r="F1309" s="27" t="s">
        <v>862</v>
      </c>
      <c r="G1309" s="23">
        <v>12.435499999999999</v>
      </c>
      <c r="H1309" s="27" t="s">
        <v>744</v>
      </c>
      <c r="I1309" s="23">
        <f>IF(ISNUMBER(G1309),E1309*G1309,"")</f>
        <v>74.613</v>
      </c>
      <c r="J1309" s="24"/>
      <c r="K1309" s="19"/>
      <c r="L1309" s="174">
        <v>0</v>
      </c>
    </row>
    <row r="1310" spans="1:12" ht="15.75" hidden="1" thickBot="1" x14ac:dyDescent="0.3">
      <c r="A1310" s="181"/>
      <c r="B1310" s="179"/>
      <c r="C1310" s="25" t="s">
        <v>524</v>
      </c>
      <c r="D1310" s="36" t="s">
        <v>75</v>
      </c>
      <c r="E1310" s="26">
        <v>5.0700000000000002E-2</v>
      </c>
      <c r="F1310" s="27" t="s">
        <v>862</v>
      </c>
      <c r="G1310" s="23">
        <v>33.667999999999999</v>
      </c>
      <c r="H1310" s="27" t="s">
        <v>525</v>
      </c>
      <c r="I1310" s="23">
        <f>IF(ISNUMBER(G1310),E1310*G1310,"")</f>
        <v>1.7069676</v>
      </c>
      <c r="J1310" s="24"/>
      <c r="K1310" s="19"/>
      <c r="L1310" s="174">
        <v>0</v>
      </c>
    </row>
    <row r="1311" spans="1:12" ht="26.25" hidden="1" thickBot="1" x14ac:dyDescent="0.3">
      <c r="A1311" s="181"/>
      <c r="B1311" s="179"/>
      <c r="C1311" s="25" t="s">
        <v>863</v>
      </c>
      <c r="D1311" s="25" t="s">
        <v>32</v>
      </c>
      <c r="E1311" s="26">
        <v>1</v>
      </c>
      <c r="F1311" s="27" t="s">
        <v>862</v>
      </c>
      <c r="G1311" s="23" t="s">
        <v>1079</v>
      </c>
      <c r="H1311" s="27" t="s">
        <v>33</v>
      </c>
      <c r="I1311" s="19" t="str">
        <f>IF(ISNUMBER(G1311),E1311*G1311,"")</f>
        <v/>
      </c>
      <c r="J1311" s="24"/>
      <c r="K1311" s="19"/>
      <c r="L1311" s="174">
        <v>0</v>
      </c>
    </row>
    <row r="1312" spans="1:12" ht="15.75" hidden="1" thickBot="1" x14ac:dyDescent="0.3">
      <c r="A1312" s="181"/>
      <c r="B1312" s="179"/>
      <c r="C1312" s="25"/>
      <c r="D1312" s="25"/>
      <c r="E1312" s="26"/>
      <c r="F1312" s="27"/>
      <c r="G1312" s="23" t="s">
        <v>1079</v>
      </c>
      <c r="H1312" s="27"/>
      <c r="I1312" s="19" t="str">
        <f>IF(ISNUMBER(G1312),E1312*G1312,"")</f>
        <v/>
      </c>
      <c r="J1312" s="24"/>
      <c r="K1312" s="19"/>
      <c r="L1312" s="174">
        <v>0</v>
      </c>
    </row>
    <row r="1313" spans="1:12" ht="15.75" hidden="1" thickBot="1" x14ac:dyDescent="0.3">
      <c r="A1313" s="180" t="s">
        <v>864</v>
      </c>
      <c r="B1313" s="178" t="str">
        <f>INDEX(Orçamentária!A:B,MATCH(Composições!A1313,Orçamentária!A:A,0),2)</f>
        <v>Cabide – Linha Administrativa</v>
      </c>
      <c r="C1313" s="30"/>
      <c r="D1313" s="13" t="str">
        <f>TRIM(INDEX(Orçamentária!C:C,MATCH(Composições!A1313,Orçamentária!A:A,0),1))</f>
        <v>un</v>
      </c>
      <c r="E1313" s="14"/>
      <c r="F1313" s="15" t="s">
        <v>865</v>
      </c>
      <c r="G1313" s="31" t="s">
        <v>1079</v>
      </c>
      <c r="H1313" s="16"/>
      <c r="I1313" s="16" t="str">
        <f>IF(ISNUMBER(G1313),E1313*G1313,"")</f>
        <v/>
      </c>
      <c r="J1313" s="17"/>
      <c r="K1313" s="18"/>
      <c r="L1313" s="174">
        <v>0</v>
      </c>
    </row>
    <row r="1314" spans="1:12" ht="15.75" hidden="1" thickBot="1" x14ac:dyDescent="0.3">
      <c r="A1314" s="181"/>
      <c r="B1314" s="179"/>
      <c r="C1314" s="20"/>
      <c r="D1314" s="20"/>
      <c r="E1314" s="21"/>
      <c r="F1314" s="22"/>
      <c r="G1314" s="32" t="s">
        <v>1079</v>
      </c>
      <c r="H1314" s="20"/>
      <c r="I1314" s="19" t="str">
        <f>IF(ISNUMBER(G1314),E1314*G1314,"")</f>
        <v/>
      </c>
      <c r="J1314" s="24"/>
      <c r="K1314" s="19"/>
      <c r="L1314" s="174">
        <v>0</v>
      </c>
    </row>
    <row r="1315" spans="1:12" ht="15.75" hidden="1" thickBot="1" x14ac:dyDescent="0.3">
      <c r="A1315" s="181"/>
      <c r="B1315" s="179"/>
      <c r="C1315" s="25" t="s">
        <v>866</v>
      </c>
      <c r="D1315" s="36" t="s">
        <v>305</v>
      </c>
      <c r="E1315" s="26">
        <v>1</v>
      </c>
      <c r="F1315" s="27" t="s">
        <v>867</v>
      </c>
      <c r="G1315" s="23" t="s">
        <v>1079</v>
      </c>
      <c r="H1315" s="27" t="s">
        <v>33</v>
      </c>
      <c r="I1315" s="23" t="str">
        <f>IF(ISNUMBER(G1315),E1315*G1315,"")</f>
        <v/>
      </c>
      <c r="J1315" s="28">
        <f>SUM(I1315:I1316)</f>
        <v>3.3736571</v>
      </c>
      <c r="K1315" s="29"/>
      <c r="L1315" s="174">
        <v>0</v>
      </c>
    </row>
    <row r="1316" spans="1:12" ht="26.25" hidden="1" thickBot="1" x14ac:dyDescent="0.3">
      <c r="A1316" s="181"/>
      <c r="B1316" s="179"/>
      <c r="C1316" s="25" t="s">
        <v>868</v>
      </c>
      <c r="D1316" s="36" t="s">
        <v>588</v>
      </c>
      <c r="E1316" s="26">
        <v>1</v>
      </c>
      <c r="F1316" s="27" t="s">
        <v>867</v>
      </c>
      <c r="G1316" s="23">
        <v>3.3736571</v>
      </c>
      <c r="H1316" s="27" t="s">
        <v>774</v>
      </c>
      <c r="I1316" s="23">
        <f>IF(ISNUMBER(G1316),E1316*G1316,"")</f>
        <v>3.3736571</v>
      </c>
      <c r="J1316" s="24"/>
      <c r="K1316" s="19"/>
      <c r="L1316" s="174">
        <v>0</v>
      </c>
    </row>
    <row r="1317" spans="1:12" ht="15.75" hidden="1" thickBot="1" x14ac:dyDescent="0.3">
      <c r="A1317" s="182"/>
      <c r="B1317" s="183"/>
      <c r="C1317" s="25"/>
      <c r="D1317" s="25"/>
      <c r="E1317" s="26"/>
      <c r="F1317" s="27"/>
      <c r="G1317" s="19" t="s">
        <v>1079</v>
      </c>
      <c r="H1317" s="27"/>
      <c r="I1317" s="19" t="str">
        <f>IF(ISNUMBER(G1317),E1317*G1317,"")</f>
        <v/>
      </c>
      <c r="J1317" s="24"/>
      <c r="K1317" s="19"/>
      <c r="L1317" s="174">
        <v>0</v>
      </c>
    </row>
    <row r="1318" spans="1:12" ht="15.75" thickBot="1" x14ac:dyDescent="0.3">
      <c r="A1318" s="288" t="s">
        <v>869</v>
      </c>
      <c r="B1318" s="289" t="str">
        <f>INDEX(Orçamentária!A:B,MATCH(Composições!A1318,Orçamentária!A:A,0),2)</f>
        <v>Papeleira – Linha Administrativa</v>
      </c>
      <c r="C1318" s="274"/>
      <c r="D1318" s="265" t="str">
        <f>TRIM(INDEX(Orçamentária!C:C,MATCH(Composições!A1318,Orçamentária!A:A,0),1))</f>
        <v>un</v>
      </c>
      <c r="E1318" s="290"/>
      <c r="F1318" s="259" t="s">
        <v>865</v>
      </c>
      <c r="G1318" s="260" t="s">
        <v>1079</v>
      </c>
      <c r="H1318" s="261"/>
      <c r="I1318" s="261" t="str">
        <f>IF(ISNUMBER(G1318),E1318*G1318,"")</f>
        <v/>
      </c>
      <c r="J1318" s="280"/>
      <c r="K1318" s="18"/>
      <c r="L1318" s="174">
        <v>2</v>
      </c>
    </row>
    <row r="1319" spans="1:12" x14ac:dyDescent="0.25">
      <c r="A1319" s="291"/>
      <c r="B1319" s="292"/>
      <c r="C1319" s="155"/>
      <c r="D1319" s="155"/>
      <c r="E1319" s="293"/>
      <c r="F1319" s="294"/>
      <c r="G1319" s="262" t="s">
        <v>1079</v>
      </c>
      <c r="H1319" s="155"/>
      <c r="I1319" s="257" t="str">
        <f>IF(ISNUMBER(G1319),E1319*G1319,"")</f>
        <v/>
      </c>
      <c r="J1319" s="281"/>
      <c r="K1319" s="19"/>
      <c r="L1319" s="174">
        <v>2</v>
      </c>
    </row>
    <row r="1320" spans="1:12" x14ac:dyDescent="0.25">
      <c r="A1320" s="291"/>
      <c r="B1320" s="292"/>
      <c r="C1320" s="105" t="s">
        <v>870</v>
      </c>
      <c r="D1320" s="271" t="s">
        <v>305</v>
      </c>
      <c r="E1320" s="250">
        <v>1</v>
      </c>
      <c r="F1320" s="176" t="s">
        <v>867</v>
      </c>
      <c r="G1320" s="258">
        <v>99.13</v>
      </c>
      <c r="H1320" s="176" t="s">
        <v>33</v>
      </c>
      <c r="I1320" s="258">
        <f>IF(ISNUMBER(G1320),E1320*G1320,"")</f>
        <v>99.13</v>
      </c>
      <c r="J1320" s="295">
        <f>SUM(I1320:I1321)</f>
        <v>102.5036571</v>
      </c>
      <c r="K1320" s="29"/>
      <c r="L1320" s="174">
        <v>2</v>
      </c>
    </row>
    <row r="1321" spans="1:12" ht="25.5" x14ac:dyDescent="0.25">
      <c r="A1321" s="291"/>
      <c r="B1321" s="292"/>
      <c r="C1321" s="105" t="s">
        <v>868</v>
      </c>
      <c r="D1321" s="271" t="s">
        <v>588</v>
      </c>
      <c r="E1321" s="250">
        <v>1</v>
      </c>
      <c r="F1321" s="176" t="s">
        <v>867</v>
      </c>
      <c r="G1321" s="258">
        <v>3.3736571</v>
      </c>
      <c r="H1321" s="176" t="s">
        <v>774</v>
      </c>
      <c r="I1321" s="258">
        <f>IF(ISNUMBER(G1321),E1321*G1321,"")</f>
        <v>3.3736571</v>
      </c>
      <c r="J1321" s="281"/>
      <c r="K1321" s="19"/>
      <c r="L1321" s="174">
        <v>2</v>
      </c>
    </row>
    <row r="1322" spans="1:12" ht="15.75" thickBot="1" x14ac:dyDescent="0.3">
      <c r="A1322" s="296"/>
      <c r="B1322" s="297"/>
      <c r="C1322" s="105"/>
      <c r="D1322" s="105"/>
      <c r="E1322" s="250"/>
      <c r="F1322" s="176"/>
      <c r="G1322" s="257" t="s">
        <v>1079</v>
      </c>
      <c r="H1322" s="176"/>
      <c r="I1322" s="257" t="str">
        <f>IF(ISNUMBER(G1322),E1322*G1322,"")</f>
        <v/>
      </c>
      <c r="J1322" s="281"/>
      <c r="K1322" s="19"/>
      <c r="L1322" s="174">
        <v>2</v>
      </c>
    </row>
    <row r="1323" spans="1:12" ht="15.75" hidden="1" thickBot="1" x14ac:dyDescent="0.3">
      <c r="A1323" s="180" t="s">
        <v>871</v>
      </c>
      <c r="B1323" s="178" t="str">
        <f>INDEX(Orçamentária!A:B,MATCH(Composições!A1323,Orçamentária!A:A,0),2)</f>
        <v>Porta toalha argola – Linha Administrativa</v>
      </c>
      <c r="C1323" s="30"/>
      <c r="D1323" s="13" t="str">
        <f>TRIM(INDEX(Orçamentária!C:C,MATCH(Composições!A1323,Orçamentária!A:A,0),1))</f>
        <v>un</v>
      </c>
      <c r="E1323" s="14"/>
      <c r="F1323" s="15" t="s">
        <v>865</v>
      </c>
      <c r="G1323" s="31" t="s">
        <v>1079</v>
      </c>
      <c r="H1323" s="16"/>
      <c r="I1323" s="16" t="str">
        <f>IF(ISNUMBER(G1323),E1323*G1323,"")</f>
        <v/>
      </c>
      <c r="J1323" s="17"/>
      <c r="K1323" s="18"/>
      <c r="L1323" s="174">
        <v>0</v>
      </c>
    </row>
    <row r="1324" spans="1:12" ht="15.75" hidden="1" thickBot="1" x14ac:dyDescent="0.3">
      <c r="A1324" s="181"/>
      <c r="B1324" s="179"/>
      <c r="C1324" s="20"/>
      <c r="D1324" s="20"/>
      <c r="E1324" s="21"/>
      <c r="F1324" s="22"/>
      <c r="G1324" s="32" t="s">
        <v>1079</v>
      </c>
      <c r="H1324" s="20"/>
      <c r="I1324" s="19" t="str">
        <f>IF(ISNUMBER(G1324),E1324*G1324,"")</f>
        <v/>
      </c>
      <c r="J1324" s="24"/>
      <c r="K1324" s="19"/>
      <c r="L1324" s="174">
        <v>0</v>
      </c>
    </row>
    <row r="1325" spans="1:12" ht="26.25" hidden="1" thickBot="1" x14ac:dyDescent="0.3">
      <c r="A1325" s="181"/>
      <c r="B1325" s="179"/>
      <c r="C1325" s="25" t="s">
        <v>872</v>
      </c>
      <c r="D1325" s="36" t="s">
        <v>305</v>
      </c>
      <c r="E1325" s="26">
        <v>1</v>
      </c>
      <c r="F1325" s="27" t="s">
        <v>867</v>
      </c>
      <c r="G1325" s="23" t="s">
        <v>1079</v>
      </c>
      <c r="H1325" s="27" t="s">
        <v>33</v>
      </c>
      <c r="I1325" s="23" t="str">
        <f>IF(ISNUMBER(G1325),E1325*G1325,"")</f>
        <v/>
      </c>
      <c r="J1325" s="28">
        <f>SUM(I1325:I1326)</f>
        <v>3.3736571</v>
      </c>
      <c r="K1325" s="29"/>
      <c r="L1325" s="174">
        <v>0</v>
      </c>
    </row>
    <row r="1326" spans="1:12" ht="26.25" hidden="1" thickBot="1" x14ac:dyDescent="0.3">
      <c r="A1326" s="181"/>
      <c r="B1326" s="179"/>
      <c r="C1326" s="25" t="s">
        <v>868</v>
      </c>
      <c r="D1326" s="36" t="s">
        <v>588</v>
      </c>
      <c r="E1326" s="26">
        <v>1</v>
      </c>
      <c r="F1326" s="27" t="s">
        <v>867</v>
      </c>
      <c r="G1326" s="23">
        <v>3.3736571</v>
      </c>
      <c r="H1326" s="27" t="s">
        <v>774</v>
      </c>
      <c r="I1326" s="23">
        <f>IF(ISNUMBER(G1326),E1326*G1326,"")</f>
        <v>3.3736571</v>
      </c>
      <c r="J1326" s="24"/>
      <c r="K1326" s="19"/>
      <c r="L1326" s="174">
        <v>0</v>
      </c>
    </row>
    <row r="1327" spans="1:12" ht="15.75" hidden="1" thickBot="1" x14ac:dyDescent="0.3">
      <c r="A1327" s="182"/>
      <c r="B1327" s="183"/>
      <c r="C1327" s="25"/>
      <c r="D1327" s="25"/>
      <c r="E1327" s="26"/>
      <c r="F1327" s="27"/>
      <c r="G1327" s="19" t="s">
        <v>1079</v>
      </c>
      <c r="H1327" s="27"/>
      <c r="I1327" s="19" t="str">
        <f>IF(ISNUMBER(G1327),E1327*G1327,"")</f>
        <v/>
      </c>
      <c r="J1327" s="24"/>
      <c r="K1327" s="19"/>
      <c r="L1327" s="174">
        <v>0</v>
      </c>
    </row>
    <row r="1328" spans="1:12" ht="15.75" hidden="1" thickBot="1" x14ac:dyDescent="0.3">
      <c r="A1328" s="180" t="s">
        <v>873</v>
      </c>
      <c r="B1328" s="178" t="str">
        <f>INDEX(Orçamentária!A:B,MATCH(Composições!A1328,Orçamentária!A:A,0),2)</f>
        <v>Porta toalha barra – Linha Administrativa</v>
      </c>
      <c r="C1328" s="30"/>
      <c r="D1328" s="13" t="str">
        <f>TRIM(INDEX(Orçamentária!C:C,MATCH(Composições!A1328,Orçamentária!A:A,0),1))</f>
        <v>un</v>
      </c>
      <c r="E1328" s="14"/>
      <c r="F1328" s="15" t="s">
        <v>865</v>
      </c>
      <c r="G1328" s="31" t="s">
        <v>1079</v>
      </c>
      <c r="H1328" s="16"/>
      <c r="I1328" s="16" t="str">
        <f>IF(ISNUMBER(G1328),E1328*G1328,"")</f>
        <v/>
      </c>
      <c r="J1328" s="17"/>
      <c r="K1328" s="18"/>
      <c r="L1328" s="174">
        <v>0</v>
      </c>
    </row>
    <row r="1329" spans="1:12" ht="15.75" hidden="1" thickBot="1" x14ac:dyDescent="0.3">
      <c r="A1329" s="181"/>
      <c r="B1329" s="179"/>
      <c r="C1329" s="20"/>
      <c r="D1329" s="20"/>
      <c r="E1329" s="21"/>
      <c r="F1329" s="22"/>
      <c r="G1329" s="32" t="s">
        <v>1079</v>
      </c>
      <c r="H1329" s="20"/>
      <c r="I1329" s="19" t="str">
        <f>IF(ISNUMBER(G1329),E1329*G1329,"")</f>
        <v/>
      </c>
      <c r="J1329" s="24"/>
      <c r="K1329" s="19"/>
      <c r="L1329" s="174">
        <v>0</v>
      </c>
    </row>
    <row r="1330" spans="1:12" ht="26.25" hidden="1" thickBot="1" x14ac:dyDescent="0.3">
      <c r="A1330" s="181"/>
      <c r="B1330" s="179"/>
      <c r="C1330" s="25" t="s">
        <v>874</v>
      </c>
      <c r="D1330" s="36" t="s">
        <v>305</v>
      </c>
      <c r="E1330" s="26">
        <v>1</v>
      </c>
      <c r="F1330" s="27" t="s">
        <v>867</v>
      </c>
      <c r="G1330" s="23" t="s">
        <v>1079</v>
      </c>
      <c r="H1330" s="27" t="s">
        <v>33</v>
      </c>
      <c r="I1330" s="23" t="str">
        <f>IF(ISNUMBER(G1330),E1330*G1330,"")</f>
        <v/>
      </c>
      <c r="J1330" s="28">
        <f>SUM(I1330:I1331)</f>
        <v>3.3736571</v>
      </c>
      <c r="K1330" s="29"/>
      <c r="L1330" s="174">
        <v>0</v>
      </c>
    </row>
    <row r="1331" spans="1:12" ht="26.25" hidden="1" thickBot="1" x14ac:dyDescent="0.3">
      <c r="A1331" s="181"/>
      <c r="B1331" s="179"/>
      <c r="C1331" s="25" t="s">
        <v>868</v>
      </c>
      <c r="D1331" s="36" t="s">
        <v>588</v>
      </c>
      <c r="E1331" s="26">
        <v>1</v>
      </c>
      <c r="F1331" s="27" t="s">
        <v>867</v>
      </c>
      <c r="G1331" s="23">
        <v>3.3736571</v>
      </c>
      <c r="H1331" s="27" t="s">
        <v>774</v>
      </c>
      <c r="I1331" s="23">
        <f>IF(ISNUMBER(G1331),E1331*G1331,"")</f>
        <v>3.3736571</v>
      </c>
      <c r="J1331" s="24"/>
      <c r="K1331" s="19"/>
      <c r="L1331" s="174">
        <v>0</v>
      </c>
    </row>
    <row r="1332" spans="1:12" ht="15.75" hidden="1" thickBot="1" x14ac:dyDescent="0.3">
      <c r="A1332" s="182"/>
      <c r="B1332" s="183"/>
      <c r="C1332" s="25"/>
      <c r="D1332" s="25"/>
      <c r="E1332" s="26"/>
      <c r="F1332" s="27"/>
      <c r="G1332" s="19" t="s">
        <v>1079</v>
      </c>
      <c r="H1332" s="27"/>
      <c r="I1332" s="19" t="str">
        <f>IF(ISNUMBER(G1332),E1332*G1332,"")</f>
        <v/>
      </c>
      <c r="J1332" s="24"/>
      <c r="K1332" s="19"/>
      <c r="L1332" s="174">
        <v>0</v>
      </c>
    </row>
    <row r="1333" spans="1:12" ht="15.75" thickBot="1" x14ac:dyDescent="0.3">
      <c r="A1333" s="288" t="s">
        <v>875</v>
      </c>
      <c r="B1333" s="289" t="str">
        <f>INDEX(Orçamentária!A:B,MATCH(Composições!A1333,Orçamentária!A:A,0),2)</f>
        <v>Caixa 4x2 de embutir para alvenaria</v>
      </c>
      <c r="C1333" s="274"/>
      <c r="D1333" s="265" t="str">
        <f>TRIM(INDEX(Orçamentária!C:C,MATCH(Composições!A1333,Orçamentária!A:A,0),1))</f>
        <v>un</v>
      </c>
      <c r="E1333" s="290"/>
      <c r="F1333" s="259" t="s">
        <v>876</v>
      </c>
      <c r="G1333" s="260" t="s">
        <v>1079</v>
      </c>
      <c r="H1333" s="261"/>
      <c r="I1333" s="261" t="str">
        <f>IF(ISNUMBER(G1333),E1333*G1333,"")</f>
        <v/>
      </c>
      <c r="J1333" s="280"/>
      <c r="K1333" s="18"/>
      <c r="L1333" s="174">
        <v>36</v>
      </c>
    </row>
    <row r="1334" spans="1:12" x14ac:dyDescent="0.25">
      <c r="A1334" s="291"/>
      <c r="B1334" s="292"/>
      <c r="C1334" s="155"/>
      <c r="D1334" s="155"/>
      <c r="E1334" s="293"/>
      <c r="F1334" s="294"/>
      <c r="G1334" s="262" t="s">
        <v>1079</v>
      </c>
      <c r="H1334" s="155"/>
      <c r="I1334" s="257" t="str">
        <f>IF(ISNUMBER(G1334),E1334*G1334,"")</f>
        <v/>
      </c>
      <c r="J1334" s="281"/>
      <c r="K1334" s="19"/>
      <c r="L1334" s="174">
        <v>36</v>
      </c>
    </row>
    <row r="1335" spans="1:12" x14ac:dyDescent="0.25">
      <c r="A1335" s="291"/>
      <c r="B1335" s="292"/>
      <c r="C1335" s="105" t="s">
        <v>144</v>
      </c>
      <c r="D1335" s="105" t="s">
        <v>21</v>
      </c>
      <c r="E1335" s="250">
        <v>0.14499999999999999</v>
      </c>
      <c r="F1335" s="176" t="s">
        <v>877</v>
      </c>
      <c r="G1335" s="257">
        <v>15.218999999999999</v>
      </c>
      <c r="H1335" s="176" t="s">
        <v>145</v>
      </c>
      <c r="I1335" s="258">
        <f>IF(ISNUMBER(G1335),E1335*G1335,"")</f>
        <v>2.2067549999999998</v>
      </c>
      <c r="J1335" s="295">
        <f>SUM(I1335:I1338)</f>
        <v>6.818863815654999</v>
      </c>
      <c r="K1335" s="29"/>
      <c r="L1335" s="174">
        <v>36</v>
      </c>
    </row>
    <row r="1336" spans="1:12" x14ac:dyDescent="0.25">
      <c r="A1336" s="291"/>
      <c r="B1336" s="292"/>
      <c r="C1336" s="105" t="s">
        <v>54</v>
      </c>
      <c r="D1336" s="105" t="s">
        <v>21</v>
      </c>
      <c r="E1336" s="250">
        <v>0.14499999999999999</v>
      </c>
      <c r="F1336" s="176" t="s">
        <v>877</v>
      </c>
      <c r="G1336" s="257">
        <v>19.313499999999998</v>
      </c>
      <c r="H1336" s="176" t="s">
        <v>55</v>
      </c>
      <c r="I1336" s="258">
        <f>IF(ISNUMBER(G1336),E1336*G1336,"")</f>
        <v>2.8004574999999994</v>
      </c>
      <c r="J1336" s="281"/>
      <c r="K1336" s="19"/>
      <c r="L1336" s="174">
        <v>36</v>
      </c>
    </row>
    <row r="1337" spans="1:12" ht="25.5" x14ac:dyDescent="0.25">
      <c r="A1337" s="291"/>
      <c r="B1337" s="292"/>
      <c r="C1337" s="105" t="s">
        <v>227</v>
      </c>
      <c r="D1337" s="105" t="s">
        <v>228</v>
      </c>
      <c r="E1337" s="250">
        <v>8.9999999999999998E-4</v>
      </c>
      <c r="F1337" s="176" t="s">
        <v>877</v>
      </c>
      <c r="G1337" s="258">
        <v>429.61257294999996</v>
      </c>
      <c r="H1337" s="176" t="s">
        <v>229</v>
      </c>
      <c r="I1337" s="258">
        <f>IF(ISNUMBER(G1337),E1337*G1337,"")</f>
        <v>0.38665131565499994</v>
      </c>
      <c r="J1337" s="281"/>
      <c r="K1337" s="19"/>
      <c r="L1337" s="174">
        <v>36</v>
      </c>
    </row>
    <row r="1338" spans="1:12" x14ac:dyDescent="0.25">
      <c r="A1338" s="291"/>
      <c r="B1338" s="292"/>
      <c r="C1338" s="105" t="s">
        <v>878</v>
      </c>
      <c r="D1338" s="105" t="s">
        <v>32</v>
      </c>
      <c r="E1338" s="250">
        <v>1</v>
      </c>
      <c r="F1338" s="176" t="s">
        <v>877</v>
      </c>
      <c r="G1338" s="258">
        <v>1.4249999999999998</v>
      </c>
      <c r="H1338" s="176" t="s">
        <v>879</v>
      </c>
      <c r="I1338" s="257">
        <f>IF(ISNUMBER(G1338),E1338*G1338,"")</f>
        <v>1.4249999999999998</v>
      </c>
      <c r="J1338" s="281"/>
      <c r="K1338" s="19"/>
      <c r="L1338" s="174">
        <v>36</v>
      </c>
    </row>
    <row r="1339" spans="1:12" ht="15.75" thickBot="1" x14ac:dyDescent="0.3">
      <c r="A1339" s="296"/>
      <c r="B1339" s="297"/>
      <c r="C1339" s="105"/>
      <c r="D1339" s="105"/>
      <c r="E1339" s="250"/>
      <c r="F1339" s="176"/>
      <c r="G1339" s="257" t="s">
        <v>1079</v>
      </c>
      <c r="H1339" s="176"/>
      <c r="I1339" s="257" t="str">
        <f>IF(ISNUMBER(G1339),E1339*G1339,"")</f>
        <v/>
      </c>
      <c r="J1339" s="281"/>
      <c r="K1339" s="19"/>
      <c r="L1339" s="174">
        <v>36</v>
      </c>
    </row>
    <row r="1340" spans="1:12" ht="15.75" thickBot="1" x14ac:dyDescent="0.3">
      <c r="A1340" s="288" t="s">
        <v>880</v>
      </c>
      <c r="B1340" s="289" t="str">
        <f>INDEX(Orçamentária!A:B,MATCH(Composições!A1340,Orçamentária!A:A,0),2)</f>
        <v>Caixa 4x2 para drywall</v>
      </c>
      <c r="C1340" s="274"/>
      <c r="D1340" s="265" t="str">
        <f>TRIM(INDEX(Orçamentária!C:C,MATCH(Composições!A1340,Orçamentária!A:A,0),1))</f>
        <v>un</v>
      </c>
      <c r="E1340" s="290"/>
      <c r="F1340" s="259" t="s">
        <v>876</v>
      </c>
      <c r="G1340" s="260" t="s">
        <v>1079</v>
      </c>
      <c r="H1340" s="261"/>
      <c r="I1340" s="261" t="str">
        <f>IF(ISNUMBER(G1340),E1340*G1340,"")</f>
        <v/>
      </c>
      <c r="J1340" s="280"/>
      <c r="K1340" s="18"/>
      <c r="L1340" s="174">
        <v>6</v>
      </c>
    </row>
    <row r="1341" spans="1:12" x14ac:dyDescent="0.25">
      <c r="A1341" s="291"/>
      <c r="B1341" s="292"/>
      <c r="C1341" s="155"/>
      <c r="D1341" s="155"/>
      <c r="E1341" s="293"/>
      <c r="F1341" s="294"/>
      <c r="G1341" s="262" t="s">
        <v>1079</v>
      </c>
      <c r="H1341" s="155"/>
      <c r="I1341" s="257" t="str">
        <f>IF(ISNUMBER(G1341),E1341*G1341,"")</f>
        <v/>
      </c>
      <c r="J1341" s="281"/>
      <c r="K1341" s="19"/>
      <c r="L1341" s="174">
        <v>6</v>
      </c>
    </row>
    <row r="1342" spans="1:12" x14ac:dyDescent="0.25">
      <c r="A1342" s="291"/>
      <c r="B1342" s="292"/>
      <c r="C1342" s="105" t="s">
        <v>144</v>
      </c>
      <c r="D1342" s="105" t="s">
        <v>21</v>
      </c>
      <c r="E1342" s="250">
        <v>0.14499999999999999</v>
      </c>
      <c r="F1342" s="176" t="s">
        <v>877</v>
      </c>
      <c r="G1342" s="257">
        <v>15.218999999999999</v>
      </c>
      <c r="H1342" s="176" t="s">
        <v>145</v>
      </c>
      <c r="I1342" s="258">
        <f>IF(ISNUMBER(G1342),E1342*G1342,"")</f>
        <v>2.2067549999999998</v>
      </c>
      <c r="J1342" s="295">
        <f>SUM(I1342:I1344)</f>
        <v>10.0672125</v>
      </c>
      <c r="K1342" s="29"/>
      <c r="L1342" s="174">
        <v>6</v>
      </c>
    </row>
    <row r="1343" spans="1:12" x14ac:dyDescent="0.25">
      <c r="A1343" s="291"/>
      <c r="B1343" s="292"/>
      <c r="C1343" s="105" t="s">
        <v>54</v>
      </c>
      <c r="D1343" s="105" t="s">
        <v>21</v>
      </c>
      <c r="E1343" s="250">
        <v>0.14499999999999999</v>
      </c>
      <c r="F1343" s="176" t="s">
        <v>877</v>
      </c>
      <c r="G1343" s="257">
        <v>19.313499999999998</v>
      </c>
      <c r="H1343" s="176" t="s">
        <v>55</v>
      </c>
      <c r="I1343" s="258">
        <f>IF(ISNUMBER(G1343),E1343*G1343,"")</f>
        <v>2.8004574999999994</v>
      </c>
      <c r="J1343" s="281"/>
      <c r="K1343" s="19"/>
      <c r="L1343" s="174">
        <v>6</v>
      </c>
    </row>
    <row r="1344" spans="1:12" x14ac:dyDescent="0.25">
      <c r="A1344" s="291"/>
      <c r="B1344" s="292"/>
      <c r="C1344" s="105" t="s">
        <v>881</v>
      </c>
      <c r="D1344" s="105" t="s">
        <v>32</v>
      </c>
      <c r="E1344" s="250">
        <v>1</v>
      </c>
      <c r="F1344" s="176" t="s">
        <v>877</v>
      </c>
      <c r="G1344" s="258">
        <v>5.0599999999999996</v>
      </c>
      <c r="H1344" s="176" t="s">
        <v>33</v>
      </c>
      <c r="I1344" s="257">
        <f>IF(ISNUMBER(G1344),E1344*G1344,"")</f>
        <v>5.0599999999999996</v>
      </c>
      <c r="J1344" s="281"/>
      <c r="K1344" s="19"/>
      <c r="L1344" s="174">
        <v>6</v>
      </c>
    </row>
    <row r="1345" spans="1:12" ht="15.75" thickBot="1" x14ac:dyDescent="0.3">
      <c r="A1345" s="296"/>
      <c r="B1345" s="297"/>
      <c r="C1345" s="105"/>
      <c r="D1345" s="105"/>
      <c r="E1345" s="250"/>
      <c r="F1345" s="176"/>
      <c r="G1345" s="257" t="s">
        <v>1079</v>
      </c>
      <c r="H1345" s="176"/>
      <c r="I1345" s="257" t="str">
        <f>IF(ISNUMBER(G1345),E1345*G1345,"")</f>
        <v/>
      </c>
      <c r="J1345" s="281"/>
      <c r="K1345" s="19"/>
      <c r="L1345" s="174">
        <v>6</v>
      </c>
    </row>
    <row r="1346" spans="1:12" ht="15.75" thickBot="1" x14ac:dyDescent="0.3">
      <c r="A1346" s="288" t="s">
        <v>882</v>
      </c>
      <c r="B1346" s="289" t="str">
        <f>INDEX(Orçamentária!A:B,MATCH(Composições!A1346,Orçamentária!A:A,0),2)</f>
        <v>Caixa 4x4 de embutir para alvenaria</v>
      </c>
      <c r="C1346" s="274"/>
      <c r="D1346" s="265" t="str">
        <f>TRIM(INDEX(Orçamentária!C:C,MATCH(Composições!A1346,Orçamentária!A:A,0),1))</f>
        <v>un</v>
      </c>
      <c r="E1346" s="290"/>
      <c r="F1346" s="259" t="s">
        <v>883</v>
      </c>
      <c r="G1346" s="260" t="s">
        <v>1079</v>
      </c>
      <c r="H1346" s="261"/>
      <c r="I1346" s="261" t="str">
        <f>IF(ISNUMBER(G1346),E1346*G1346,"")</f>
        <v/>
      </c>
      <c r="J1346" s="280"/>
      <c r="K1346" s="18"/>
      <c r="L1346" s="174">
        <v>4</v>
      </c>
    </row>
    <row r="1347" spans="1:12" x14ac:dyDescent="0.25">
      <c r="A1347" s="291"/>
      <c r="B1347" s="292"/>
      <c r="C1347" s="155"/>
      <c r="D1347" s="155"/>
      <c r="E1347" s="293"/>
      <c r="F1347" s="294"/>
      <c r="G1347" s="262" t="s">
        <v>1079</v>
      </c>
      <c r="H1347" s="155"/>
      <c r="I1347" s="257" t="str">
        <f>IF(ISNUMBER(G1347),E1347*G1347,"")</f>
        <v/>
      </c>
      <c r="J1347" s="281"/>
      <c r="K1347" s="19"/>
      <c r="L1347" s="174">
        <v>4</v>
      </c>
    </row>
    <row r="1348" spans="1:12" x14ac:dyDescent="0.25">
      <c r="A1348" s="291"/>
      <c r="B1348" s="292"/>
      <c r="C1348" s="105" t="s">
        <v>144</v>
      </c>
      <c r="D1348" s="105" t="s">
        <v>21</v>
      </c>
      <c r="E1348" s="250">
        <v>0.16600000000000001</v>
      </c>
      <c r="F1348" s="176" t="s">
        <v>884</v>
      </c>
      <c r="G1348" s="257">
        <v>15.218999999999999</v>
      </c>
      <c r="H1348" s="176" t="s">
        <v>145</v>
      </c>
      <c r="I1348" s="258">
        <f>IF(ISNUMBER(G1348),E1348*G1348,"")</f>
        <v>2.526354</v>
      </c>
      <c r="J1348" s="295">
        <f>SUM(I1348:I1351)</f>
        <v>9.0884300875400008</v>
      </c>
      <c r="K1348" s="29"/>
      <c r="L1348" s="174">
        <v>4</v>
      </c>
    </row>
    <row r="1349" spans="1:12" x14ac:dyDescent="0.25">
      <c r="A1349" s="291"/>
      <c r="B1349" s="292"/>
      <c r="C1349" s="105" t="s">
        <v>54</v>
      </c>
      <c r="D1349" s="105" t="s">
        <v>21</v>
      </c>
      <c r="E1349" s="250">
        <v>0.16600000000000001</v>
      </c>
      <c r="F1349" s="176" t="s">
        <v>884</v>
      </c>
      <c r="G1349" s="257">
        <v>19.313499999999998</v>
      </c>
      <c r="H1349" s="176" t="s">
        <v>55</v>
      </c>
      <c r="I1349" s="258">
        <f>IF(ISNUMBER(G1349),E1349*G1349,"")</f>
        <v>3.2060409999999999</v>
      </c>
      <c r="J1349" s="281"/>
      <c r="K1349" s="19"/>
      <c r="L1349" s="174">
        <v>4</v>
      </c>
    </row>
    <row r="1350" spans="1:12" ht="25.5" x14ac:dyDescent="0.25">
      <c r="A1350" s="291"/>
      <c r="B1350" s="292"/>
      <c r="C1350" s="105" t="s">
        <v>227</v>
      </c>
      <c r="D1350" s="105" t="s">
        <v>228</v>
      </c>
      <c r="E1350" s="250">
        <v>1.1999999999999999E-3</v>
      </c>
      <c r="F1350" s="176" t="s">
        <v>884</v>
      </c>
      <c r="G1350" s="258">
        <v>429.61257294999996</v>
      </c>
      <c r="H1350" s="176" t="s">
        <v>229</v>
      </c>
      <c r="I1350" s="258">
        <f>IF(ISNUMBER(G1350),E1350*G1350,"")</f>
        <v>0.51553508753999988</v>
      </c>
      <c r="J1350" s="281"/>
      <c r="K1350" s="19"/>
      <c r="L1350" s="174">
        <v>4</v>
      </c>
    </row>
    <row r="1351" spans="1:12" x14ac:dyDescent="0.25">
      <c r="A1351" s="291"/>
      <c r="B1351" s="292"/>
      <c r="C1351" s="105" t="s">
        <v>885</v>
      </c>
      <c r="D1351" s="105" t="s">
        <v>32</v>
      </c>
      <c r="E1351" s="250">
        <v>1</v>
      </c>
      <c r="F1351" s="176" t="s">
        <v>884</v>
      </c>
      <c r="G1351" s="258">
        <v>2.8405</v>
      </c>
      <c r="H1351" s="176" t="s">
        <v>886</v>
      </c>
      <c r="I1351" s="257">
        <f>IF(ISNUMBER(G1351),E1351*G1351,"")</f>
        <v>2.8405</v>
      </c>
      <c r="J1351" s="281"/>
      <c r="K1351" s="19"/>
      <c r="L1351" s="174">
        <v>4</v>
      </c>
    </row>
    <row r="1352" spans="1:12" ht="15.75" thickBot="1" x14ac:dyDescent="0.3">
      <c r="A1352" s="296"/>
      <c r="B1352" s="297"/>
      <c r="C1352" s="105"/>
      <c r="D1352" s="105"/>
      <c r="E1352" s="250"/>
      <c r="F1352" s="176"/>
      <c r="G1352" s="257" t="s">
        <v>1079</v>
      </c>
      <c r="H1352" s="176"/>
      <c r="I1352" s="257" t="str">
        <f>IF(ISNUMBER(G1352),E1352*G1352,"")</f>
        <v/>
      </c>
      <c r="J1352" s="281"/>
      <c r="K1352" s="19"/>
      <c r="L1352" s="174">
        <v>4</v>
      </c>
    </row>
    <row r="1353" spans="1:12" ht="15.75" hidden="1" thickBot="1" x14ac:dyDescent="0.3">
      <c r="A1353" s="180" t="s">
        <v>887</v>
      </c>
      <c r="B1353" s="178" t="str">
        <f>INDEX(Orçamentária!A:B,MATCH(Composições!A1353,Orçamentária!A:A,0),2)</f>
        <v>Caixa 4x4 para drywall</v>
      </c>
      <c r="C1353" s="30"/>
      <c r="D1353" s="13" t="str">
        <f>TRIM(INDEX(Orçamentária!C:C,MATCH(Composições!A1353,Orçamentária!A:A,0),1))</f>
        <v>un</v>
      </c>
      <c r="E1353" s="14"/>
      <c r="F1353" s="15" t="s">
        <v>883</v>
      </c>
      <c r="G1353" s="31" t="s">
        <v>1079</v>
      </c>
      <c r="H1353" s="16"/>
      <c r="I1353" s="16" t="str">
        <f>IF(ISNUMBER(G1353),E1353*G1353,"")</f>
        <v/>
      </c>
      <c r="J1353" s="17"/>
      <c r="K1353" s="18"/>
      <c r="L1353" s="174">
        <v>0</v>
      </c>
    </row>
    <row r="1354" spans="1:12" ht="15.75" hidden="1" thickBot="1" x14ac:dyDescent="0.3">
      <c r="A1354" s="181"/>
      <c r="B1354" s="179"/>
      <c r="C1354" s="20"/>
      <c r="D1354" s="20"/>
      <c r="E1354" s="21"/>
      <c r="F1354" s="22"/>
      <c r="G1354" s="32" t="s">
        <v>1079</v>
      </c>
      <c r="H1354" s="20"/>
      <c r="I1354" s="19" t="str">
        <f>IF(ISNUMBER(G1354),E1354*G1354,"")</f>
        <v/>
      </c>
      <c r="J1354" s="24"/>
      <c r="K1354" s="19"/>
      <c r="L1354" s="174">
        <v>0</v>
      </c>
    </row>
    <row r="1355" spans="1:12" ht="15.75" hidden="1" thickBot="1" x14ac:dyDescent="0.3">
      <c r="A1355" s="181"/>
      <c r="B1355" s="179"/>
      <c r="C1355" s="25" t="s">
        <v>144</v>
      </c>
      <c r="D1355" s="25" t="s">
        <v>21</v>
      </c>
      <c r="E1355" s="26">
        <v>0.16600000000000001</v>
      </c>
      <c r="F1355" s="27" t="s">
        <v>884</v>
      </c>
      <c r="G1355" s="19">
        <v>15.218999999999999</v>
      </c>
      <c r="H1355" s="27" t="s">
        <v>145</v>
      </c>
      <c r="I1355" s="23">
        <f>IF(ISNUMBER(G1355),E1355*G1355,"")</f>
        <v>2.526354</v>
      </c>
      <c r="J1355" s="28">
        <f>SUM(I1355:I1357)</f>
        <v>5.7323950000000004</v>
      </c>
      <c r="K1355" s="29"/>
      <c r="L1355" s="174">
        <v>0</v>
      </c>
    </row>
    <row r="1356" spans="1:12" ht="15.75" hidden="1" thickBot="1" x14ac:dyDescent="0.3">
      <c r="A1356" s="181"/>
      <c r="B1356" s="179"/>
      <c r="C1356" s="25" t="s">
        <v>54</v>
      </c>
      <c r="D1356" s="25" t="s">
        <v>21</v>
      </c>
      <c r="E1356" s="26">
        <v>0.16600000000000001</v>
      </c>
      <c r="F1356" s="27" t="s">
        <v>884</v>
      </c>
      <c r="G1356" s="19">
        <v>19.313499999999998</v>
      </c>
      <c r="H1356" s="27" t="s">
        <v>55</v>
      </c>
      <c r="I1356" s="23">
        <f>IF(ISNUMBER(G1356),E1356*G1356,"")</f>
        <v>3.2060409999999999</v>
      </c>
      <c r="J1356" s="24"/>
      <c r="K1356" s="19"/>
      <c r="L1356" s="174">
        <v>0</v>
      </c>
    </row>
    <row r="1357" spans="1:12" ht="15.75" hidden="1" thickBot="1" x14ac:dyDescent="0.3">
      <c r="A1357" s="181"/>
      <c r="B1357" s="179"/>
      <c r="C1357" s="25" t="s">
        <v>888</v>
      </c>
      <c r="D1357" s="25" t="s">
        <v>32</v>
      </c>
      <c r="E1357" s="26">
        <v>1</v>
      </c>
      <c r="F1357" s="27" t="s">
        <v>884</v>
      </c>
      <c r="G1357" s="23" t="s">
        <v>1079</v>
      </c>
      <c r="H1357" s="27" t="s">
        <v>33</v>
      </c>
      <c r="I1357" s="19" t="str">
        <f>IF(ISNUMBER(G1357),E1357*G1357,"")</f>
        <v/>
      </c>
      <c r="J1357" s="24"/>
      <c r="K1357" s="19"/>
      <c r="L1357" s="174">
        <v>0</v>
      </c>
    </row>
    <row r="1358" spans="1:12" ht="15.75" hidden="1" thickBot="1" x14ac:dyDescent="0.3">
      <c r="A1358" s="182"/>
      <c r="B1358" s="183"/>
      <c r="C1358" s="25"/>
      <c r="D1358" s="25"/>
      <c r="E1358" s="26"/>
      <c r="F1358" s="27"/>
      <c r="G1358" s="19" t="s">
        <v>1079</v>
      </c>
      <c r="H1358" s="27"/>
      <c r="I1358" s="19" t="str">
        <f>IF(ISNUMBER(G1358),E1358*G1358,"")</f>
        <v/>
      </c>
      <c r="J1358" s="24"/>
      <c r="K1358" s="19"/>
      <c r="L1358" s="174">
        <v>0</v>
      </c>
    </row>
    <row r="1359" spans="1:12" ht="15.75" thickBot="1" x14ac:dyDescent="0.3">
      <c r="A1359" s="288" t="s">
        <v>889</v>
      </c>
      <c r="B1359" s="289" t="str">
        <f>INDEX(Orçamentária!A:B,MATCH(Composições!A1359,Orçamentária!A:A,0),2)</f>
        <v>Caixa de passagem em alumínio 100x100x50mm</v>
      </c>
      <c r="C1359" s="274"/>
      <c r="D1359" s="265" t="str">
        <f>TRIM(INDEX(Orçamentária!C:C,MATCH(Composições!A1359,Orçamentária!A:A,0),1))</f>
        <v>un</v>
      </c>
      <c r="E1359" s="290"/>
      <c r="F1359" s="259" t="s">
        <v>890</v>
      </c>
      <c r="G1359" s="260" t="s">
        <v>1079</v>
      </c>
      <c r="H1359" s="261"/>
      <c r="I1359" s="261" t="str">
        <f>IF(ISNUMBER(G1359),E1359*G1359,"")</f>
        <v/>
      </c>
      <c r="J1359" s="280"/>
      <c r="K1359" s="18"/>
      <c r="L1359" s="174">
        <v>2</v>
      </c>
    </row>
    <row r="1360" spans="1:12" x14ac:dyDescent="0.25">
      <c r="A1360" s="291"/>
      <c r="B1360" s="292"/>
      <c r="C1360" s="155"/>
      <c r="D1360" s="155"/>
      <c r="E1360" s="293"/>
      <c r="F1360" s="294"/>
      <c r="G1360" s="262" t="s">
        <v>1079</v>
      </c>
      <c r="H1360" s="155"/>
      <c r="I1360" s="257" t="str">
        <f>IF(ISNUMBER(G1360),E1360*G1360,"")</f>
        <v/>
      </c>
      <c r="J1360" s="281"/>
      <c r="K1360" s="19"/>
      <c r="L1360" s="174">
        <v>2</v>
      </c>
    </row>
    <row r="1361" spans="1:12" x14ac:dyDescent="0.25">
      <c r="A1361" s="291"/>
      <c r="B1361" s="292"/>
      <c r="C1361" s="105" t="s">
        <v>144</v>
      </c>
      <c r="D1361" s="105" t="s">
        <v>21</v>
      </c>
      <c r="E1361" s="250">
        <v>0.34599999999999997</v>
      </c>
      <c r="F1361" s="176" t="s">
        <v>891</v>
      </c>
      <c r="G1361" s="257">
        <v>15.218999999999999</v>
      </c>
      <c r="H1361" s="176" t="s">
        <v>145</v>
      </c>
      <c r="I1361" s="258">
        <f>IF(ISNUMBER(G1361),E1361*G1361,"")</f>
        <v>5.2657739999999995</v>
      </c>
      <c r="J1361" s="295">
        <f>SUM(I1361:I1363)</f>
        <v>36.058244999999999</v>
      </c>
      <c r="K1361" s="29"/>
      <c r="L1361" s="174">
        <v>2</v>
      </c>
    </row>
    <row r="1362" spans="1:12" x14ac:dyDescent="0.25">
      <c r="A1362" s="291"/>
      <c r="B1362" s="292"/>
      <c r="C1362" s="105" t="s">
        <v>54</v>
      </c>
      <c r="D1362" s="105" t="s">
        <v>21</v>
      </c>
      <c r="E1362" s="250">
        <v>0.34599999999999997</v>
      </c>
      <c r="F1362" s="176" t="s">
        <v>891</v>
      </c>
      <c r="G1362" s="257">
        <v>19.313499999999998</v>
      </c>
      <c r="H1362" s="176" t="s">
        <v>55</v>
      </c>
      <c r="I1362" s="258">
        <f>IF(ISNUMBER(G1362),E1362*G1362,"")</f>
        <v>6.6824709999999987</v>
      </c>
      <c r="J1362" s="281"/>
      <c r="K1362" s="19"/>
      <c r="L1362" s="174">
        <v>2</v>
      </c>
    </row>
    <row r="1363" spans="1:12" x14ac:dyDescent="0.25">
      <c r="A1363" s="291"/>
      <c r="B1363" s="292"/>
      <c r="C1363" s="105" t="s">
        <v>892</v>
      </c>
      <c r="D1363" s="105" t="s">
        <v>184</v>
      </c>
      <c r="E1363" s="250">
        <v>1</v>
      </c>
      <c r="F1363" s="176" t="s">
        <v>891</v>
      </c>
      <c r="G1363" s="258">
        <v>24.11</v>
      </c>
      <c r="H1363" s="176" t="s">
        <v>33</v>
      </c>
      <c r="I1363" s="258">
        <f>IF(ISNUMBER(G1363),E1363*G1363,"")</f>
        <v>24.11</v>
      </c>
      <c r="J1363" s="281"/>
      <c r="K1363" s="19"/>
      <c r="L1363" s="174">
        <v>2</v>
      </c>
    </row>
    <row r="1364" spans="1:12" ht="15.75" thickBot="1" x14ac:dyDescent="0.3">
      <c r="A1364" s="296"/>
      <c r="B1364" s="297"/>
      <c r="C1364" s="105"/>
      <c r="D1364" s="105"/>
      <c r="E1364" s="250"/>
      <c r="F1364" s="176"/>
      <c r="G1364" s="257" t="s">
        <v>1079</v>
      </c>
      <c r="H1364" s="176"/>
      <c r="I1364" s="257" t="str">
        <f>IF(ISNUMBER(G1364),E1364*G1364,"")</f>
        <v/>
      </c>
      <c r="J1364" s="281"/>
      <c r="K1364" s="19"/>
      <c r="L1364" s="174">
        <v>2</v>
      </c>
    </row>
    <row r="1365" spans="1:12" ht="15.75" thickBot="1" x14ac:dyDescent="0.3">
      <c r="A1365" s="288" t="s">
        <v>893</v>
      </c>
      <c r="B1365" s="289" t="str">
        <f>INDEX(Orçamentária!A:B,MATCH(Composições!A1365,Orçamentária!A:A,0),2)</f>
        <v>Caixa de passagem em alumínio 200x200x100mm</v>
      </c>
      <c r="C1365" s="274"/>
      <c r="D1365" s="265" t="str">
        <f>TRIM(INDEX(Orçamentária!C:C,MATCH(Composições!A1365,Orçamentária!A:A,0),1))</f>
        <v>un</v>
      </c>
      <c r="E1365" s="290"/>
      <c r="F1365" s="259" t="s">
        <v>890</v>
      </c>
      <c r="G1365" s="260" t="s">
        <v>1079</v>
      </c>
      <c r="H1365" s="261"/>
      <c r="I1365" s="261" t="str">
        <f>IF(ISNUMBER(G1365),E1365*G1365,"")</f>
        <v/>
      </c>
      <c r="J1365" s="280"/>
      <c r="K1365" s="18"/>
      <c r="L1365" s="174">
        <v>4</v>
      </c>
    </row>
    <row r="1366" spans="1:12" x14ac:dyDescent="0.25">
      <c r="A1366" s="291"/>
      <c r="B1366" s="292"/>
      <c r="C1366" s="155"/>
      <c r="D1366" s="155"/>
      <c r="E1366" s="293"/>
      <c r="F1366" s="294"/>
      <c r="G1366" s="262" t="s">
        <v>1079</v>
      </c>
      <c r="H1366" s="155"/>
      <c r="I1366" s="257" t="str">
        <f>IF(ISNUMBER(G1366),E1366*G1366,"")</f>
        <v/>
      </c>
      <c r="J1366" s="281"/>
      <c r="K1366" s="19"/>
      <c r="L1366" s="174">
        <v>4</v>
      </c>
    </row>
    <row r="1367" spans="1:12" x14ac:dyDescent="0.25">
      <c r="A1367" s="291"/>
      <c r="B1367" s="292"/>
      <c r="C1367" s="105" t="s">
        <v>144</v>
      </c>
      <c r="D1367" s="105" t="s">
        <v>21</v>
      </c>
      <c r="E1367" s="250">
        <v>0.34599999999999997</v>
      </c>
      <c r="F1367" s="176" t="s">
        <v>891</v>
      </c>
      <c r="G1367" s="257">
        <v>15.218999999999999</v>
      </c>
      <c r="H1367" s="176" t="s">
        <v>145</v>
      </c>
      <c r="I1367" s="258">
        <f>IF(ISNUMBER(G1367),E1367*G1367,"")</f>
        <v>5.2657739999999995</v>
      </c>
      <c r="J1367" s="295">
        <f>SUM(I1367:I1369)</f>
        <v>80.598245000000006</v>
      </c>
      <c r="K1367" s="29"/>
      <c r="L1367" s="174">
        <v>4</v>
      </c>
    </row>
    <row r="1368" spans="1:12" x14ac:dyDescent="0.25">
      <c r="A1368" s="291"/>
      <c r="B1368" s="292"/>
      <c r="C1368" s="105" t="s">
        <v>54</v>
      </c>
      <c r="D1368" s="105" t="s">
        <v>21</v>
      </c>
      <c r="E1368" s="250">
        <v>0.34599999999999997</v>
      </c>
      <c r="F1368" s="176" t="s">
        <v>891</v>
      </c>
      <c r="G1368" s="257">
        <v>19.313499999999998</v>
      </c>
      <c r="H1368" s="176" t="s">
        <v>55</v>
      </c>
      <c r="I1368" s="258">
        <f>IF(ISNUMBER(G1368),E1368*G1368,"")</f>
        <v>6.6824709999999987</v>
      </c>
      <c r="J1368" s="281"/>
      <c r="K1368" s="19"/>
      <c r="L1368" s="174">
        <v>4</v>
      </c>
    </row>
    <row r="1369" spans="1:12" x14ac:dyDescent="0.25">
      <c r="A1369" s="291"/>
      <c r="B1369" s="292"/>
      <c r="C1369" s="105" t="s">
        <v>894</v>
      </c>
      <c r="D1369" s="105" t="s">
        <v>184</v>
      </c>
      <c r="E1369" s="250">
        <v>1</v>
      </c>
      <c r="F1369" s="176" t="s">
        <v>891</v>
      </c>
      <c r="G1369" s="258">
        <v>68.650000000000006</v>
      </c>
      <c r="H1369" s="176" t="s">
        <v>33</v>
      </c>
      <c r="I1369" s="258">
        <f>IF(ISNUMBER(G1369),E1369*G1369,"")</f>
        <v>68.650000000000006</v>
      </c>
      <c r="J1369" s="281"/>
      <c r="K1369" s="19"/>
      <c r="L1369" s="174">
        <v>4</v>
      </c>
    </row>
    <row r="1370" spans="1:12" ht="15.75" thickBot="1" x14ac:dyDescent="0.3">
      <c r="A1370" s="296"/>
      <c r="B1370" s="297"/>
      <c r="C1370" s="105"/>
      <c r="D1370" s="105"/>
      <c r="E1370" s="250"/>
      <c r="F1370" s="176"/>
      <c r="G1370" s="257" t="s">
        <v>1079</v>
      </c>
      <c r="H1370" s="176"/>
      <c r="I1370" s="257" t="str">
        <f>IF(ISNUMBER(G1370),E1370*G1370,"")</f>
        <v/>
      </c>
      <c r="J1370" s="281"/>
      <c r="K1370" s="19"/>
      <c r="L1370" s="174">
        <v>4</v>
      </c>
    </row>
    <row r="1371" spans="1:12" ht="15.75" hidden="1" thickBot="1" x14ac:dyDescent="0.3">
      <c r="A1371" s="180" t="s">
        <v>895</v>
      </c>
      <c r="B1371" s="178" t="str">
        <f>INDEX(Orçamentária!A:B,MATCH(Composições!A1371,Orçamentária!A:A,0),2)</f>
        <v>Caixa de passagem em PVC 150x150x75mm</v>
      </c>
      <c r="C1371" s="30"/>
      <c r="D1371" s="13" t="str">
        <f>TRIM(INDEX(Orçamentária!C:C,MATCH(Composições!A1371,Orçamentária!A:A,0),1))</f>
        <v>un</v>
      </c>
      <c r="E1371" s="14"/>
      <c r="F1371" s="15" t="s">
        <v>890</v>
      </c>
      <c r="G1371" s="31" t="s">
        <v>1079</v>
      </c>
      <c r="H1371" s="16"/>
      <c r="I1371" s="16" t="str">
        <f>IF(ISNUMBER(G1371),E1371*G1371,"")</f>
        <v/>
      </c>
      <c r="J1371" s="17"/>
      <c r="K1371" s="18"/>
      <c r="L1371" s="174">
        <v>0</v>
      </c>
    </row>
    <row r="1372" spans="1:12" ht="15.75" hidden="1" thickBot="1" x14ac:dyDescent="0.3">
      <c r="A1372" s="181"/>
      <c r="B1372" s="179"/>
      <c r="C1372" s="20"/>
      <c r="D1372" s="20"/>
      <c r="E1372" s="21"/>
      <c r="F1372" s="22"/>
      <c r="G1372" s="32" t="s">
        <v>1079</v>
      </c>
      <c r="H1372" s="20"/>
      <c r="I1372" s="19" t="str">
        <f>IF(ISNUMBER(G1372),E1372*G1372,"")</f>
        <v/>
      </c>
      <c r="J1372" s="24"/>
      <c r="K1372" s="19"/>
      <c r="L1372" s="174">
        <v>0</v>
      </c>
    </row>
    <row r="1373" spans="1:12" ht="15.75" hidden="1" thickBot="1" x14ac:dyDescent="0.3">
      <c r="A1373" s="181"/>
      <c r="B1373" s="179"/>
      <c r="C1373" s="25" t="s">
        <v>54</v>
      </c>
      <c r="D1373" s="25" t="s">
        <v>21</v>
      </c>
      <c r="E1373" s="26">
        <v>0.34599999999999997</v>
      </c>
      <c r="F1373" s="27" t="s">
        <v>891</v>
      </c>
      <c r="G1373" s="19">
        <v>19.313499999999998</v>
      </c>
      <c r="H1373" s="27" t="s">
        <v>55</v>
      </c>
      <c r="I1373" s="23">
        <f>IF(ISNUMBER(G1373),E1373*G1373,"")</f>
        <v>6.6824709999999987</v>
      </c>
      <c r="J1373" s="28">
        <f>SUM(I1373:I1375)</f>
        <v>41.744766999999996</v>
      </c>
      <c r="K1373" s="29"/>
      <c r="L1373" s="174">
        <v>0</v>
      </c>
    </row>
    <row r="1374" spans="1:12" ht="15.75" hidden="1" thickBot="1" x14ac:dyDescent="0.3">
      <c r="A1374" s="181"/>
      <c r="B1374" s="179"/>
      <c r="C1374" s="25" t="s">
        <v>38</v>
      </c>
      <c r="D1374" s="25" t="s">
        <v>21</v>
      </c>
      <c r="E1374" s="26">
        <v>0.34599999999999997</v>
      </c>
      <c r="F1374" s="27" t="s">
        <v>891</v>
      </c>
      <c r="G1374" s="19">
        <v>14.325999999999999</v>
      </c>
      <c r="H1374" s="27" t="s">
        <v>39</v>
      </c>
      <c r="I1374" s="23">
        <f>IF(ISNUMBER(G1374),E1374*G1374,"")</f>
        <v>4.9567959999999989</v>
      </c>
      <c r="J1374" s="24"/>
      <c r="K1374" s="19"/>
      <c r="L1374" s="174">
        <v>0</v>
      </c>
    </row>
    <row r="1375" spans="1:12" ht="26.25" hidden="1" thickBot="1" x14ac:dyDescent="0.3">
      <c r="A1375" s="181"/>
      <c r="B1375" s="179"/>
      <c r="C1375" s="25" t="s">
        <v>896</v>
      </c>
      <c r="D1375" s="25" t="s">
        <v>32</v>
      </c>
      <c r="E1375" s="26">
        <v>1</v>
      </c>
      <c r="F1375" s="27" t="s">
        <v>891</v>
      </c>
      <c r="G1375" s="23">
        <v>30.105499999999999</v>
      </c>
      <c r="H1375" s="27" t="s">
        <v>897</v>
      </c>
      <c r="I1375" s="19">
        <f>IF(ISNUMBER(G1375),E1375*G1375,"")</f>
        <v>30.105499999999999</v>
      </c>
      <c r="J1375" s="24"/>
      <c r="K1375" s="19"/>
      <c r="L1375" s="174">
        <v>0</v>
      </c>
    </row>
    <row r="1376" spans="1:12" ht="15.75" hidden="1" thickBot="1" x14ac:dyDescent="0.3">
      <c r="A1376" s="182"/>
      <c r="B1376" s="183"/>
      <c r="C1376" s="25"/>
      <c r="D1376" s="25"/>
      <c r="E1376" s="26"/>
      <c r="F1376" s="27"/>
      <c r="G1376" s="19" t="s">
        <v>1079</v>
      </c>
      <c r="H1376" s="27"/>
      <c r="I1376" s="19" t="str">
        <f>IF(ISNUMBER(G1376),E1376*G1376,"")</f>
        <v/>
      </c>
      <c r="J1376" s="24"/>
      <c r="K1376" s="19"/>
      <c r="L1376" s="174">
        <v>0</v>
      </c>
    </row>
    <row r="1377" spans="1:12" ht="15.75" hidden="1" thickBot="1" x14ac:dyDescent="0.3">
      <c r="A1377" s="180" t="s">
        <v>898</v>
      </c>
      <c r="B1377" s="178" t="str">
        <f>INDEX(Orçamentária!A:B,MATCH(Composições!A1377,Orçamentária!A:A,0),2)</f>
        <v>Caixa para piso elevado</v>
      </c>
      <c r="C1377" s="30"/>
      <c r="D1377" s="13" t="str">
        <f>TRIM(INDEX(Orçamentária!C:C,MATCH(Composições!A1377,Orçamentária!A:A,0),1))</f>
        <v>un</v>
      </c>
      <c r="E1377" s="14"/>
      <c r="F1377" s="15" t="s">
        <v>890</v>
      </c>
      <c r="G1377" s="31" t="s">
        <v>1079</v>
      </c>
      <c r="H1377" s="16"/>
      <c r="I1377" s="16" t="str">
        <f>IF(ISNUMBER(G1377),E1377*G1377,"")</f>
        <v/>
      </c>
      <c r="J1377" s="17"/>
      <c r="K1377" s="18"/>
      <c r="L1377" s="174">
        <v>0</v>
      </c>
    </row>
    <row r="1378" spans="1:12" ht="15.75" hidden="1" thickBot="1" x14ac:dyDescent="0.3">
      <c r="A1378" s="181"/>
      <c r="B1378" s="179"/>
      <c r="C1378" s="20"/>
      <c r="D1378" s="20"/>
      <c r="E1378" s="21"/>
      <c r="F1378" s="22"/>
      <c r="G1378" s="32" t="s">
        <v>1079</v>
      </c>
      <c r="H1378" s="20"/>
      <c r="I1378" s="19" t="str">
        <f>IF(ISNUMBER(G1378),E1378*G1378,"")</f>
        <v/>
      </c>
      <c r="J1378" s="24"/>
      <c r="K1378" s="19"/>
      <c r="L1378" s="174">
        <v>0</v>
      </c>
    </row>
    <row r="1379" spans="1:12" ht="15.75" hidden="1" thickBot="1" x14ac:dyDescent="0.3">
      <c r="A1379" s="181"/>
      <c r="B1379" s="179"/>
      <c r="C1379" s="25" t="s">
        <v>54</v>
      </c>
      <c r="D1379" s="25" t="s">
        <v>21</v>
      </c>
      <c r="E1379" s="26">
        <v>0.34599999999999997</v>
      </c>
      <c r="F1379" s="27" t="s">
        <v>891</v>
      </c>
      <c r="G1379" s="19">
        <v>19.313499999999998</v>
      </c>
      <c r="H1379" s="27" t="s">
        <v>55</v>
      </c>
      <c r="I1379" s="19">
        <f>IF(ISNUMBER(G1379),E1379*G1379,"")</f>
        <v>6.6824709999999987</v>
      </c>
      <c r="J1379" s="28">
        <f>SUM(I1379:I1381)</f>
        <v>11.948244999999998</v>
      </c>
      <c r="K1379" s="29"/>
      <c r="L1379" s="174">
        <v>0</v>
      </c>
    </row>
    <row r="1380" spans="1:12" ht="15.75" hidden="1" thickBot="1" x14ac:dyDescent="0.3">
      <c r="A1380" s="181"/>
      <c r="B1380" s="179"/>
      <c r="C1380" s="25" t="s">
        <v>144</v>
      </c>
      <c r="D1380" s="25" t="s">
        <v>21</v>
      </c>
      <c r="E1380" s="26">
        <v>0.34599999999999997</v>
      </c>
      <c r="F1380" s="27" t="s">
        <v>891</v>
      </c>
      <c r="G1380" s="19">
        <v>15.218999999999999</v>
      </c>
      <c r="H1380" s="27" t="s">
        <v>145</v>
      </c>
      <c r="I1380" s="19">
        <f>IF(ISNUMBER(G1380),E1380*G1380,"")</f>
        <v>5.2657739999999995</v>
      </c>
      <c r="J1380" s="24"/>
      <c r="K1380" s="19"/>
      <c r="L1380" s="174">
        <v>0</v>
      </c>
    </row>
    <row r="1381" spans="1:12" ht="26.25" hidden="1" thickBot="1" x14ac:dyDescent="0.3">
      <c r="A1381" s="181"/>
      <c r="B1381" s="179"/>
      <c r="C1381" s="25" t="s">
        <v>899</v>
      </c>
      <c r="D1381" s="36" t="s">
        <v>32</v>
      </c>
      <c r="E1381" s="26">
        <v>1</v>
      </c>
      <c r="F1381" s="27" t="s">
        <v>891</v>
      </c>
      <c r="G1381" s="23" t="s">
        <v>1079</v>
      </c>
      <c r="H1381" s="27" t="s">
        <v>33</v>
      </c>
      <c r="I1381" s="19" t="str">
        <f>IF(ISNUMBER(G1381),E1381*G1381,"")</f>
        <v/>
      </c>
      <c r="J1381" s="24"/>
      <c r="K1381" s="19"/>
      <c r="L1381" s="174">
        <v>0</v>
      </c>
    </row>
    <row r="1382" spans="1:12" ht="15.75" hidden="1" thickBot="1" x14ac:dyDescent="0.3">
      <c r="A1382" s="181"/>
      <c r="B1382" s="179"/>
      <c r="C1382" s="25"/>
      <c r="D1382" s="36"/>
      <c r="E1382" s="26"/>
      <c r="F1382" s="27"/>
      <c r="G1382" s="23" t="s">
        <v>1079</v>
      </c>
      <c r="H1382" s="27"/>
      <c r="I1382" s="19" t="str">
        <f>IF(ISNUMBER(G1382),E1382*G1382,"")</f>
        <v/>
      </c>
      <c r="J1382" s="24"/>
      <c r="K1382" s="19"/>
      <c r="L1382" s="174">
        <v>0</v>
      </c>
    </row>
    <row r="1383" spans="1:12" ht="15.75" hidden="1" thickBot="1" x14ac:dyDescent="0.3">
      <c r="A1383" s="180" t="s">
        <v>900</v>
      </c>
      <c r="B1383" s="178" t="str">
        <f>INDEX(Orçamentária!A:B,MATCH(Composições!A1383,Orçamentária!A:A,0),2)</f>
        <v>Canaleta em alumínio aparente 73mmx25mm</v>
      </c>
      <c r="C1383" s="30"/>
      <c r="D1383" s="13" t="str">
        <f>TRIM(INDEX(Orçamentária!C:C,MATCH(Composições!A1383,Orçamentária!A:A,0),1))</f>
        <v>m</v>
      </c>
      <c r="E1383" s="14"/>
      <c r="F1383" s="15" t="s">
        <v>901</v>
      </c>
      <c r="G1383" s="31" t="s">
        <v>1079</v>
      </c>
      <c r="H1383" s="16"/>
      <c r="I1383" s="16" t="str">
        <f>IF(ISNUMBER(G1383),E1383*G1383,"")</f>
        <v/>
      </c>
      <c r="J1383" s="17"/>
      <c r="K1383" s="18"/>
      <c r="L1383" s="174">
        <v>0</v>
      </c>
    </row>
    <row r="1384" spans="1:12" ht="15.75" hidden="1" thickBot="1" x14ac:dyDescent="0.3">
      <c r="A1384" s="181"/>
      <c r="B1384" s="179"/>
      <c r="C1384" s="20"/>
      <c r="D1384" s="20"/>
      <c r="E1384" s="21"/>
      <c r="F1384" s="22"/>
      <c r="G1384" s="32" t="s">
        <v>1079</v>
      </c>
      <c r="H1384" s="20"/>
      <c r="I1384" s="19" t="str">
        <f>IF(ISNUMBER(G1384),E1384*G1384,"")</f>
        <v/>
      </c>
      <c r="J1384" s="24"/>
      <c r="K1384" s="19"/>
      <c r="L1384" s="174">
        <v>0</v>
      </c>
    </row>
    <row r="1385" spans="1:12" ht="26.25" hidden="1" thickBot="1" x14ac:dyDescent="0.3">
      <c r="A1385" s="181"/>
      <c r="B1385" s="179"/>
      <c r="C1385" s="25" t="s">
        <v>902</v>
      </c>
      <c r="D1385" s="25" t="s">
        <v>184</v>
      </c>
      <c r="E1385" s="26">
        <v>1.1499999999999999</v>
      </c>
      <c r="F1385" s="27" t="s">
        <v>903</v>
      </c>
      <c r="G1385" s="23" t="s">
        <v>1079</v>
      </c>
      <c r="H1385" s="27" t="s">
        <v>33</v>
      </c>
      <c r="I1385" s="23" t="str">
        <f>IF(ISNUMBER(G1385),E1385*G1385,"")</f>
        <v/>
      </c>
      <c r="J1385" s="28">
        <f>SUM(I1385:I1387)</f>
        <v>6.2158499999999997</v>
      </c>
      <c r="K1385" s="29"/>
      <c r="L1385" s="174">
        <v>0</v>
      </c>
    </row>
    <row r="1386" spans="1:12" ht="15.75" hidden="1" thickBot="1" x14ac:dyDescent="0.3">
      <c r="A1386" s="181"/>
      <c r="B1386" s="179"/>
      <c r="C1386" s="25" t="s">
        <v>144</v>
      </c>
      <c r="D1386" s="36" t="s">
        <v>21</v>
      </c>
      <c r="E1386" s="26">
        <v>0.18</v>
      </c>
      <c r="F1386" s="27" t="s">
        <v>903</v>
      </c>
      <c r="G1386" s="19">
        <v>15.218999999999999</v>
      </c>
      <c r="H1386" s="27" t="s">
        <v>145</v>
      </c>
      <c r="I1386" s="23">
        <f>IF(ISNUMBER(G1386),E1386*G1386,"")</f>
        <v>2.73942</v>
      </c>
      <c r="J1386" s="24"/>
      <c r="K1386" s="19"/>
      <c r="L1386" s="174">
        <v>0</v>
      </c>
    </row>
    <row r="1387" spans="1:12" ht="15.75" hidden="1" thickBot="1" x14ac:dyDescent="0.3">
      <c r="A1387" s="181"/>
      <c r="B1387" s="179"/>
      <c r="C1387" s="25" t="s">
        <v>54</v>
      </c>
      <c r="D1387" s="25" t="s">
        <v>21</v>
      </c>
      <c r="E1387" s="26">
        <v>0.18</v>
      </c>
      <c r="F1387" s="27" t="s">
        <v>903</v>
      </c>
      <c r="G1387" s="19">
        <v>19.313499999999998</v>
      </c>
      <c r="H1387" s="27" t="s">
        <v>55</v>
      </c>
      <c r="I1387" s="23">
        <f>IF(ISNUMBER(G1387),E1387*G1387,"")</f>
        <v>3.4764299999999992</v>
      </c>
      <c r="J1387" s="24"/>
      <c r="K1387" s="19"/>
      <c r="L1387" s="174">
        <v>0</v>
      </c>
    </row>
    <row r="1388" spans="1:12" ht="15.75" hidden="1" thickBot="1" x14ac:dyDescent="0.3">
      <c r="A1388" s="182"/>
      <c r="B1388" s="183"/>
      <c r="C1388" s="25"/>
      <c r="D1388" s="25"/>
      <c r="E1388" s="26"/>
      <c r="F1388" s="27"/>
      <c r="G1388" s="19" t="s">
        <v>1079</v>
      </c>
      <c r="H1388" s="27"/>
      <c r="I1388" s="19" t="str">
        <f>IF(ISNUMBER(G1388),E1388*G1388,"")</f>
        <v/>
      </c>
      <c r="J1388" s="24"/>
      <c r="K1388" s="19"/>
      <c r="L1388" s="174">
        <v>0</v>
      </c>
    </row>
    <row r="1389" spans="1:12" ht="15.75" thickBot="1" x14ac:dyDescent="0.3">
      <c r="A1389" s="288" t="s">
        <v>904</v>
      </c>
      <c r="B1389" s="289" t="str">
        <f>INDEX(Orçamentária!A:B,MATCH(Composições!A1389,Orçamentária!A:A,0),2)</f>
        <v>Condulete de alumínio de 1’’</v>
      </c>
      <c r="C1389" s="274"/>
      <c r="D1389" s="265" t="str">
        <f>TRIM(INDEX(Orçamentária!C:C,MATCH(Composições!A1389,Orçamentária!A:A,0),1))</f>
        <v>un</v>
      </c>
      <c r="E1389" s="290"/>
      <c r="F1389" s="259" t="s">
        <v>905</v>
      </c>
      <c r="G1389" s="260" t="s">
        <v>1079</v>
      </c>
      <c r="H1389" s="261"/>
      <c r="I1389" s="261" t="str">
        <f>IF(ISNUMBER(G1389),E1389*G1389,"")</f>
        <v/>
      </c>
      <c r="J1389" s="280"/>
      <c r="K1389" s="18"/>
      <c r="L1389" s="174">
        <v>12</v>
      </c>
    </row>
    <row r="1390" spans="1:12" x14ac:dyDescent="0.25">
      <c r="A1390" s="291"/>
      <c r="B1390" s="292"/>
      <c r="C1390" s="155"/>
      <c r="D1390" s="155"/>
      <c r="E1390" s="293"/>
      <c r="F1390" s="294"/>
      <c r="G1390" s="262" t="s">
        <v>1079</v>
      </c>
      <c r="H1390" s="155"/>
      <c r="I1390" s="257" t="str">
        <f>IF(ISNUMBER(G1390),E1390*G1390,"")</f>
        <v/>
      </c>
      <c r="J1390" s="281"/>
      <c r="K1390" s="19"/>
      <c r="L1390" s="174">
        <v>12</v>
      </c>
    </row>
    <row r="1391" spans="1:12" x14ac:dyDescent="0.25">
      <c r="A1391" s="291"/>
      <c r="B1391" s="292"/>
      <c r="C1391" s="105" t="s">
        <v>144</v>
      </c>
      <c r="D1391" s="105" t="s">
        <v>21</v>
      </c>
      <c r="E1391" s="250">
        <v>0.53849999999999998</v>
      </c>
      <c r="F1391" s="176" t="s">
        <v>905</v>
      </c>
      <c r="G1391" s="257">
        <v>15.218999999999999</v>
      </c>
      <c r="H1391" s="176" t="s">
        <v>145</v>
      </c>
      <c r="I1391" s="258">
        <f>IF(ISNUMBER(G1391),E1391*G1391,"")</f>
        <v>8.1954314999999998</v>
      </c>
      <c r="J1391" s="295">
        <f>SUM(I1391:I1394)</f>
        <v>29.786751249999998</v>
      </c>
      <c r="K1391" s="29"/>
      <c r="L1391" s="174">
        <v>12</v>
      </c>
    </row>
    <row r="1392" spans="1:12" x14ac:dyDescent="0.25">
      <c r="A1392" s="291"/>
      <c r="B1392" s="292"/>
      <c r="C1392" s="105" t="s">
        <v>54</v>
      </c>
      <c r="D1392" s="105" t="s">
        <v>21</v>
      </c>
      <c r="E1392" s="250">
        <v>0.53849999999999998</v>
      </c>
      <c r="F1392" s="176" t="s">
        <v>905</v>
      </c>
      <c r="G1392" s="257">
        <v>19.313499999999998</v>
      </c>
      <c r="H1392" s="176" t="s">
        <v>55</v>
      </c>
      <c r="I1392" s="258">
        <f>IF(ISNUMBER(G1392),E1392*G1392,"")</f>
        <v>10.400319749999998</v>
      </c>
      <c r="J1392" s="281"/>
      <c r="K1392" s="19"/>
      <c r="L1392" s="174">
        <v>12</v>
      </c>
    </row>
    <row r="1393" spans="1:12" ht="25.5" x14ac:dyDescent="0.25">
      <c r="A1393" s="291"/>
      <c r="B1393" s="292"/>
      <c r="C1393" s="105" t="s">
        <v>906</v>
      </c>
      <c r="D1393" s="105" t="s">
        <v>32</v>
      </c>
      <c r="E1393" s="250">
        <v>2</v>
      </c>
      <c r="F1393" s="176" t="s">
        <v>905</v>
      </c>
      <c r="G1393" s="258">
        <v>0.19</v>
      </c>
      <c r="H1393" s="176" t="s">
        <v>907</v>
      </c>
      <c r="I1393" s="258">
        <f>IF(ISNUMBER(G1393),E1393*G1393,"")</f>
        <v>0.38</v>
      </c>
      <c r="J1393" s="281"/>
      <c r="K1393" s="19"/>
      <c r="L1393" s="174">
        <v>12</v>
      </c>
    </row>
    <row r="1394" spans="1:12" ht="25.5" x14ac:dyDescent="0.25">
      <c r="A1394" s="291"/>
      <c r="B1394" s="292"/>
      <c r="C1394" s="105" t="s">
        <v>908</v>
      </c>
      <c r="D1394" s="105" t="s">
        <v>32</v>
      </c>
      <c r="E1394" s="250">
        <v>1</v>
      </c>
      <c r="F1394" s="176" t="s">
        <v>905</v>
      </c>
      <c r="G1394" s="258">
        <v>10.811</v>
      </c>
      <c r="H1394" s="176" t="s">
        <v>909</v>
      </c>
      <c r="I1394" s="257">
        <f>IF(ISNUMBER(G1394),E1394*G1394,"")</f>
        <v>10.811</v>
      </c>
      <c r="J1394" s="281"/>
      <c r="K1394" s="19"/>
      <c r="L1394" s="174">
        <v>12</v>
      </c>
    </row>
    <row r="1395" spans="1:12" ht="15.75" thickBot="1" x14ac:dyDescent="0.3">
      <c r="A1395" s="296"/>
      <c r="B1395" s="297"/>
      <c r="C1395" s="105"/>
      <c r="D1395" s="105"/>
      <c r="E1395" s="250"/>
      <c r="F1395" s="176"/>
      <c r="G1395" s="257" t="s">
        <v>1079</v>
      </c>
      <c r="H1395" s="176"/>
      <c r="I1395" s="257" t="str">
        <f>IF(ISNUMBER(G1395),E1395*G1395,"")</f>
        <v/>
      </c>
      <c r="J1395" s="281"/>
      <c r="K1395" s="19"/>
      <c r="L1395" s="174">
        <v>12</v>
      </c>
    </row>
    <row r="1396" spans="1:12" ht="15.75" thickBot="1" x14ac:dyDescent="0.3">
      <c r="A1396" s="288" t="s">
        <v>910</v>
      </c>
      <c r="B1396" s="289" t="str">
        <f>INDEX(Orçamentária!A:B,MATCH(Composições!A1396,Orçamentária!A:A,0),2)</f>
        <v>Eletrocalha 100x50 mm</v>
      </c>
      <c r="C1396" s="274"/>
      <c r="D1396" s="265" t="str">
        <f>TRIM(INDEX(Orçamentária!C:C,MATCH(Composições!A1396,Orçamentária!A:A,0),1))</f>
        <v>m</v>
      </c>
      <c r="E1396" s="290"/>
      <c r="F1396" s="259" t="s">
        <v>911</v>
      </c>
      <c r="G1396" s="260" t="s">
        <v>1079</v>
      </c>
      <c r="H1396" s="261"/>
      <c r="I1396" s="261" t="str">
        <f>IF(ISNUMBER(G1396),E1396*G1396,"")</f>
        <v/>
      </c>
      <c r="J1396" s="280"/>
      <c r="K1396" s="18"/>
      <c r="L1396" s="174">
        <v>14</v>
      </c>
    </row>
    <row r="1397" spans="1:12" x14ac:dyDescent="0.25">
      <c r="A1397" s="291"/>
      <c r="B1397" s="292"/>
      <c r="C1397" s="155"/>
      <c r="D1397" s="155"/>
      <c r="E1397" s="293"/>
      <c r="F1397" s="294"/>
      <c r="G1397" s="262" t="s">
        <v>1079</v>
      </c>
      <c r="H1397" s="155"/>
      <c r="I1397" s="257" t="str">
        <f>IF(ISNUMBER(G1397),E1397*G1397,"")</f>
        <v/>
      </c>
      <c r="J1397" s="281"/>
      <c r="K1397" s="19"/>
      <c r="L1397" s="174">
        <v>14</v>
      </c>
    </row>
    <row r="1398" spans="1:12" x14ac:dyDescent="0.25">
      <c r="A1398" s="291"/>
      <c r="B1398" s="292"/>
      <c r="C1398" s="105" t="s">
        <v>54</v>
      </c>
      <c r="D1398" s="105" t="s">
        <v>21</v>
      </c>
      <c r="E1398" s="250">
        <v>0.45</v>
      </c>
      <c r="F1398" s="176" t="s">
        <v>0</v>
      </c>
      <c r="G1398" s="257">
        <v>19.313499999999998</v>
      </c>
      <c r="H1398" s="176" t="s">
        <v>55</v>
      </c>
      <c r="I1398" s="257">
        <f>IF(ISNUMBER(G1398),E1398*G1398,"")</f>
        <v>8.6910749999999997</v>
      </c>
      <c r="J1398" s="295">
        <f>SUM(I1398:I1409)</f>
        <v>44.346047749999997</v>
      </c>
      <c r="K1398" s="29"/>
      <c r="L1398" s="174">
        <v>14</v>
      </c>
    </row>
    <row r="1399" spans="1:12" x14ac:dyDescent="0.25">
      <c r="A1399" s="291"/>
      <c r="B1399" s="292"/>
      <c r="C1399" s="105" t="s">
        <v>144</v>
      </c>
      <c r="D1399" s="271" t="s">
        <v>21</v>
      </c>
      <c r="E1399" s="250">
        <v>0.45</v>
      </c>
      <c r="F1399" s="176" t="s">
        <v>0</v>
      </c>
      <c r="G1399" s="257">
        <v>15.218999999999999</v>
      </c>
      <c r="H1399" s="176" t="s">
        <v>145</v>
      </c>
      <c r="I1399" s="257">
        <f>IF(ISNUMBER(G1399),E1399*G1399,"")</f>
        <v>6.8485499999999995</v>
      </c>
      <c r="J1399" s="281"/>
      <c r="K1399" s="19"/>
      <c r="L1399" s="174">
        <v>14</v>
      </c>
    </row>
    <row r="1400" spans="1:12" ht="25.5" x14ac:dyDescent="0.25">
      <c r="A1400" s="291"/>
      <c r="B1400" s="292"/>
      <c r="C1400" s="105" t="s">
        <v>912</v>
      </c>
      <c r="D1400" s="105" t="s">
        <v>305</v>
      </c>
      <c r="E1400" s="250">
        <v>0.67</v>
      </c>
      <c r="F1400" s="176" t="s">
        <v>0</v>
      </c>
      <c r="G1400" s="257">
        <v>4.1989999999999998</v>
      </c>
      <c r="H1400" s="176" t="s">
        <v>913</v>
      </c>
      <c r="I1400" s="257">
        <f>IF(ISNUMBER(G1400),E1400*G1400,"")</f>
        <v>2.8133300000000001</v>
      </c>
      <c r="J1400" s="309"/>
      <c r="K1400" s="1"/>
      <c r="L1400" s="174">
        <v>14</v>
      </c>
    </row>
    <row r="1401" spans="1:12" ht="25.5" x14ac:dyDescent="0.25">
      <c r="A1401" s="291"/>
      <c r="B1401" s="292"/>
      <c r="C1401" s="105" t="s">
        <v>914</v>
      </c>
      <c r="D1401" s="105" t="s">
        <v>184</v>
      </c>
      <c r="E1401" s="250">
        <v>1.05</v>
      </c>
      <c r="F1401" s="176" t="s">
        <v>0</v>
      </c>
      <c r="G1401" s="258">
        <v>11.96</v>
      </c>
      <c r="H1401" s="176" t="s">
        <v>688</v>
      </c>
      <c r="I1401" s="257">
        <f>IF(ISNUMBER(G1401),E1401*G1401,"")</f>
        <v>12.558000000000002</v>
      </c>
      <c r="J1401" s="281"/>
      <c r="K1401" s="19"/>
      <c r="L1401" s="174">
        <v>14</v>
      </c>
    </row>
    <row r="1402" spans="1:12" x14ac:dyDescent="0.25">
      <c r="A1402" s="291"/>
      <c r="B1402" s="292"/>
      <c r="C1402" s="105" t="s">
        <v>915</v>
      </c>
      <c r="D1402" s="105" t="s">
        <v>184</v>
      </c>
      <c r="E1402" s="250">
        <v>0.8</v>
      </c>
      <c r="F1402" s="176" t="s">
        <v>0</v>
      </c>
      <c r="G1402" s="257">
        <v>2.5649999999999999</v>
      </c>
      <c r="H1402" s="176" t="s">
        <v>913</v>
      </c>
      <c r="I1402" s="257">
        <f>IF(ISNUMBER(G1402),E1402*G1402,"")</f>
        <v>2.052</v>
      </c>
      <c r="J1402" s="281"/>
      <c r="K1402" s="19"/>
      <c r="L1402" s="174">
        <v>14</v>
      </c>
    </row>
    <row r="1403" spans="1:12" x14ac:dyDescent="0.25">
      <c r="A1403" s="291"/>
      <c r="B1403" s="292"/>
      <c r="C1403" s="105" t="s">
        <v>916</v>
      </c>
      <c r="D1403" s="105" t="s">
        <v>588</v>
      </c>
      <c r="E1403" s="250">
        <v>4.0033000000000003</v>
      </c>
      <c r="F1403" s="176" t="s">
        <v>0</v>
      </c>
      <c r="G1403" s="258">
        <v>0.22799999999999998</v>
      </c>
      <c r="H1403" s="176" t="s">
        <v>917</v>
      </c>
      <c r="I1403" s="257">
        <f>IF(ISNUMBER(G1403),E1403*G1403,"")</f>
        <v>0.91275240000000002</v>
      </c>
      <c r="J1403" s="281"/>
      <c r="K1403" s="19"/>
      <c r="L1403" s="174">
        <v>14</v>
      </c>
    </row>
    <row r="1404" spans="1:12" x14ac:dyDescent="0.25">
      <c r="A1404" s="291"/>
      <c r="B1404" s="292"/>
      <c r="C1404" s="105" t="s">
        <v>918</v>
      </c>
      <c r="D1404" s="105" t="s">
        <v>305</v>
      </c>
      <c r="E1404" s="250">
        <v>4.0033000000000003</v>
      </c>
      <c r="F1404" s="176" t="s">
        <v>0</v>
      </c>
      <c r="G1404" s="257">
        <v>0.152</v>
      </c>
      <c r="H1404" s="176" t="s">
        <v>913</v>
      </c>
      <c r="I1404" s="257">
        <f>IF(ISNUMBER(G1404),E1404*G1404,"")</f>
        <v>0.60850159999999998</v>
      </c>
      <c r="J1404" s="281"/>
      <c r="K1404" s="19"/>
      <c r="L1404" s="174">
        <v>14</v>
      </c>
    </row>
    <row r="1405" spans="1:12" x14ac:dyDescent="0.25">
      <c r="A1405" s="291"/>
      <c r="B1405" s="292"/>
      <c r="C1405" s="105" t="s">
        <v>919</v>
      </c>
      <c r="D1405" s="105" t="s">
        <v>305</v>
      </c>
      <c r="E1405" s="250">
        <v>0.67</v>
      </c>
      <c r="F1405" s="176" t="s">
        <v>0</v>
      </c>
      <c r="G1405" s="257">
        <v>2.0425</v>
      </c>
      <c r="H1405" s="176" t="s">
        <v>913</v>
      </c>
      <c r="I1405" s="257">
        <f>IF(ISNUMBER(G1405),E1405*G1405,"")</f>
        <v>1.3684750000000001</v>
      </c>
      <c r="J1405" s="281"/>
      <c r="K1405" s="19"/>
      <c r="L1405" s="174">
        <v>14</v>
      </c>
    </row>
    <row r="1406" spans="1:12" x14ac:dyDescent="0.25">
      <c r="A1406" s="291"/>
      <c r="B1406" s="292"/>
      <c r="C1406" s="105" t="s">
        <v>920</v>
      </c>
      <c r="D1406" s="105" t="s">
        <v>305</v>
      </c>
      <c r="E1406" s="250">
        <v>1.05</v>
      </c>
      <c r="F1406" s="176" t="s">
        <v>0</v>
      </c>
      <c r="G1406" s="257">
        <v>0.67449999999999999</v>
      </c>
      <c r="H1406" s="176" t="s">
        <v>913</v>
      </c>
      <c r="I1406" s="257">
        <f>IF(ISNUMBER(G1406),E1406*G1406,"")</f>
        <v>0.70822499999999999</v>
      </c>
      <c r="J1406" s="281"/>
      <c r="K1406" s="19"/>
      <c r="L1406" s="174">
        <v>14</v>
      </c>
    </row>
    <row r="1407" spans="1:12" x14ac:dyDescent="0.25">
      <c r="A1407" s="291"/>
      <c r="B1407" s="292"/>
      <c r="C1407" s="105" t="s">
        <v>921</v>
      </c>
      <c r="D1407" s="105" t="s">
        <v>32</v>
      </c>
      <c r="E1407" s="250">
        <v>2.67</v>
      </c>
      <c r="F1407" s="176" t="s">
        <v>0</v>
      </c>
      <c r="G1407" s="257">
        <v>0.48449999999999999</v>
      </c>
      <c r="H1407" s="176" t="s">
        <v>913</v>
      </c>
      <c r="I1407" s="257">
        <f>IF(ISNUMBER(G1407),E1407*G1407,"")</f>
        <v>1.293615</v>
      </c>
      <c r="J1407" s="281"/>
      <c r="K1407" s="19"/>
      <c r="L1407" s="174">
        <v>14</v>
      </c>
    </row>
    <row r="1408" spans="1:12" x14ac:dyDescent="0.25">
      <c r="A1408" s="291"/>
      <c r="B1408" s="292"/>
      <c r="C1408" s="105" t="s">
        <v>922</v>
      </c>
      <c r="D1408" s="105" t="s">
        <v>305</v>
      </c>
      <c r="E1408" s="250">
        <v>0.66669999999999996</v>
      </c>
      <c r="F1408" s="176" t="s">
        <v>0</v>
      </c>
      <c r="G1408" s="257">
        <v>0.71249999999999991</v>
      </c>
      <c r="H1408" s="176" t="s">
        <v>913</v>
      </c>
      <c r="I1408" s="257">
        <f>IF(ISNUMBER(G1408),E1408*G1408,"")</f>
        <v>0.47502374999999991</v>
      </c>
      <c r="J1408" s="281"/>
      <c r="K1408" s="19"/>
      <c r="L1408" s="174">
        <v>14</v>
      </c>
    </row>
    <row r="1409" spans="1:12" ht="25.5" x14ac:dyDescent="0.25">
      <c r="A1409" s="291"/>
      <c r="B1409" s="292"/>
      <c r="C1409" s="105" t="s">
        <v>923</v>
      </c>
      <c r="D1409" s="105" t="s">
        <v>184</v>
      </c>
      <c r="E1409" s="250">
        <v>1.05</v>
      </c>
      <c r="F1409" s="176" t="s">
        <v>0</v>
      </c>
      <c r="G1409" s="258">
        <v>5.73</v>
      </c>
      <c r="H1409" s="176" t="s">
        <v>688</v>
      </c>
      <c r="I1409" s="257">
        <f>IF(ISNUMBER(G1409),E1409*G1409,"")</f>
        <v>6.0165000000000006</v>
      </c>
      <c r="J1409" s="281"/>
      <c r="K1409" s="19"/>
      <c r="L1409" s="174">
        <v>14</v>
      </c>
    </row>
    <row r="1410" spans="1:12" ht="15.75" thickBot="1" x14ac:dyDescent="0.3">
      <c r="A1410" s="296"/>
      <c r="B1410" s="297"/>
      <c r="C1410" s="105"/>
      <c r="D1410" s="105"/>
      <c r="E1410" s="250"/>
      <c r="F1410" s="176"/>
      <c r="G1410" s="257" t="s">
        <v>1079</v>
      </c>
      <c r="H1410" s="176"/>
      <c r="I1410" s="257" t="str">
        <f>IF(ISNUMBER(G1410),E1410*G1410,"")</f>
        <v/>
      </c>
      <c r="J1410" s="281"/>
      <c r="K1410" s="19"/>
      <c r="L1410" s="174">
        <v>14</v>
      </c>
    </row>
    <row r="1411" spans="1:12" ht="15.75" hidden="1" thickBot="1" x14ac:dyDescent="0.3">
      <c r="A1411" s="180" t="s">
        <v>924</v>
      </c>
      <c r="B1411" s="178" t="str">
        <f>INDEX(Orçamentária!A:B,MATCH(Composições!A1411,Orçamentária!A:A,0),2)</f>
        <v>Eletrocalha 200x100 mm</v>
      </c>
      <c r="C1411" s="30"/>
      <c r="D1411" s="13" t="str">
        <f>TRIM(INDEX(Orçamentária!C:C,MATCH(Composições!A1411,Orçamentária!A:A,0),1))</f>
        <v>m</v>
      </c>
      <c r="E1411" s="14"/>
      <c r="F1411" s="15" t="s">
        <v>925</v>
      </c>
      <c r="G1411" s="31" t="s">
        <v>1079</v>
      </c>
      <c r="H1411" s="16"/>
      <c r="I1411" s="16" t="str">
        <f>IF(ISNUMBER(G1411),E1411*G1411,"")</f>
        <v/>
      </c>
      <c r="J1411" s="17"/>
      <c r="K1411" s="18"/>
      <c r="L1411" s="174">
        <v>0</v>
      </c>
    </row>
    <row r="1412" spans="1:12" ht="15.75" hidden="1" thickBot="1" x14ac:dyDescent="0.3">
      <c r="A1412" s="181"/>
      <c r="B1412" s="179"/>
      <c r="C1412" s="20"/>
      <c r="D1412" s="20"/>
      <c r="E1412" s="21"/>
      <c r="F1412" s="22"/>
      <c r="G1412" s="32" t="s">
        <v>1079</v>
      </c>
      <c r="H1412" s="20"/>
      <c r="I1412" s="19" t="str">
        <f>IF(ISNUMBER(G1412),E1412*G1412,"")</f>
        <v/>
      </c>
      <c r="J1412" s="24"/>
      <c r="K1412" s="19"/>
      <c r="L1412" s="174">
        <v>0</v>
      </c>
    </row>
    <row r="1413" spans="1:12" ht="15.75" hidden="1" thickBot="1" x14ac:dyDescent="0.3">
      <c r="A1413" s="181"/>
      <c r="B1413" s="179"/>
      <c r="C1413" s="25" t="s">
        <v>54</v>
      </c>
      <c r="D1413" s="25" t="s">
        <v>21</v>
      </c>
      <c r="E1413" s="26">
        <v>0.6</v>
      </c>
      <c r="F1413" s="27" t="s">
        <v>1</v>
      </c>
      <c r="G1413" s="19">
        <v>19.313499999999998</v>
      </c>
      <c r="H1413" s="27" t="s">
        <v>55</v>
      </c>
      <c r="I1413" s="19">
        <f>IF(ISNUMBER(G1413),E1413*G1413,"")</f>
        <v>11.588099999999999</v>
      </c>
      <c r="J1413" s="28">
        <f>SUM(I1413:I1424)</f>
        <v>34.643400149999998</v>
      </c>
      <c r="K1413" s="29"/>
      <c r="L1413" s="174">
        <v>0</v>
      </c>
    </row>
    <row r="1414" spans="1:12" ht="15.75" hidden="1" thickBot="1" x14ac:dyDescent="0.3">
      <c r="A1414" s="181"/>
      <c r="B1414" s="179"/>
      <c r="C1414" s="25" t="s">
        <v>144</v>
      </c>
      <c r="D1414" s="36" t="s">
        <v>21</v>
      </c>
      <c r="E1414" s="26">
        <v>0.6</v>
      </c>
      <c r="F1414" s="27" t="s">
        <v>1</v>
      </c>
      <c r="G1414" s="19">
        <v>15.218999999999999</v>
      </c>
      <c r="H1414" s="27" t="s">
        <v>145</v>
      </c>
      <c r="I1414" s="19">
        <f>IF(ISNUMBER(G1414),E1414*G1414,"")</f>
        <v>9.1313999999999993</v>
      </c>
      <c r="J1414" s="24"/>
      <c r="K1414" s="19"/>
      <c r="L1414" s="174">
        <v>0</v>
      </c>
    </row>
    <row r="1415" spans="1:12" ht="26.25" hidden="1" thickBot="1" x14ac:dyDescent="0.3">
      <c r="A1415" s="181"/>
      <c r="B1415" s="179"/>
      <c r="C1415" s="25" t="s">
        <v>912</v>
      </c>
      <c r="D1415" s="25" t="s">
        <v>305</v>
      </c>
      <c r="E1415" s="26">
        <v>1.3332999999999999</v>
      </c>
      <c r="F1415" s="27" t="s">
        <v>1</v>
      </c>
      <c r="G1415" s="19">
        <v>4.1989999999999998</v>
      </c>
      <c r="H1415" s="27" t="s">
        <v>926</v>
      </c>
      <c r="I1415" s="19">
        <f>IF(ISNUMBER(G1415),E1415*G1415,"")</f>
        <v>5.5985266999999999</v>
      </c>
      <c r="J1415" s="56"/>
      <c r="K1415" s="1"/>
      <c r="L1415" s="174">
        <v>0</v>
      </c>
    </row>
    <row r="1416" spans="1:12" ht="26.25" hidden="1" thickBot="1" x14ac:dyDescent="0.3">
      <c r="A1416" s="181"/>
      <c r="B1416" s="179"/>
      <c r="C1416" s="25" t="s">
        <v>927</v>
      </c>
      <c r="D1416" s="25" t="s">
        <v>184</v>
      </c>
      <c r="E1416" s="26">
        <v>1.05</v>
      </c>
      <c r="F1416" s="27" t="s">
        <v>1</v>
      </c>
      <c r="G1416" s="23" t="s">
        <v>1079</v>
      </c>
      <c r="H1416" s="27" t="s">
        <v>688</v>
      </c>
      <c r="I1416" s="19" t="str">
        <f>IF(ISNUMBER(G1416),E1416*G1416,"")</f>
        <v/>
      </c>
      <c r="J1416" s="24"/>
      <c r="K1416" s="19"/>
      <c r="L1416" s="174">
        <v>0</v>
      </c>
    </row>
    <row r="1417" spans="1:12" ht="15.75" hidden="1" thickBot="1" x14ac:dyDescent="0.3">
      <c r="A1417" s="181"/>
      <c r="B1417" s="179"/>
      <c r="C1417" s="25" t="s">
        <v>915</v>
      </c>
      <c r="D1417" s="25" t="s">
        <v>184</v>
      </c>
      <c r="E1417" s="26">
        <v>1.6</v>
      </c>
      <c r="F1417" s="27" t="s">
        <v>1</v>
      </c>
      <c r="G1417" s="19">
        <v>2.5649999999999999</v>
      </c>
      <c r="H1417" s="27" t="s">
        <v>926</v>
      </c>
      <c r="I1417" s="19">
        <f>IF(ISNUMBER(G1417),E1417*G1417,"")</f>
        <v>4.1040000000000001</v>
      </c>
      <c r="J1417" s="24"/>
      <c r="K1417" s="19"/>
      <c r="L1417" s="174">
        <v>0</v>
      </c>
    </row>
    <row r="1418" spans="1:12" ht="15.75" hidden="1" thickBot="1" x14ac:dyDescent="0.3">
      <c r="A1418" s="181"/>
      <c r="B1418" s="179"/>
      <c r="C1418" s="25" t="s">
        <v>916</v>
      </c>
      <c r="D1418" s="25" t="s">
        <v>588</v>
      </c>
      <c r="E1418" s="26">
        <v>5.3367000000000004</v>
      </c>
      <c r="F1418" s="27" t="s">
        <v>1</v>
      </c>
      <c r="G1418" s="23">
        <v>0.22799999999999998</v>
      </c>
      <c r="H1418" s="27" t="s">
        <v>917</v>
      </c>
      <c r="I1418" s="19">
        <f>IF(ISNUMBER(G1418),E1418*G1418,"")</f>
        <v>1.2167676000000001</v>
      </c>
      <c r="J1418" s="24"/>
      <c r="K1418" s="19"/>
      <c r="L1418" s="174">
        <v>0</v>
      </c>
    </row>
    <row r="1419" spans="1:12" ht="15.75" hidden="1" thickBot="1" x14ac:dyDescent="0.3">
      <c r="A1419" s="181"/>
      <c r="B1419" s="179"/>
      <c r="C1419" s="25" t="s">
        <v>918</v>
      </c>
      <c r="D1419" s="25" t="s">
        <v>305</v>
      </c>
      <c r="E1419" s="26">
        <v>5.34</v>
      </c>
      <c r="F1419" s="27" t="s">
        <v>1</v>
      </c>
      <c r="G1419" s="19">
        <v>0.152</v>
      </c>
      <c r="H1419" s="27" t="s">
        <v>926</v>
      </c>
      <c r="I1419" s="19">
        <f>IF(ISNUMBER(G1419),E1419*G1419,"")</f>
        <v>0.81167999999999996</v>
      </c>
      <c r="J1419" s="24"/>
      <c r="K1419" s="19"/>
      <c r="L1419" s="174">
        <v>0</v>
      </c>
    </row>
    <row r="1420" spans="1:12" ht="15.75" hidden="1" thickBot="1" x14ac:dyDescent="0.3">
      <c r="A1420" s="181"/>
      <c r="B1420" s="179"/>
      <c r="C1420" s="25" t="s">
        <v>928</v>
      </c>
      <c r="D1420" s="25" t="s">
        <v>305</v>
      </c>
      <c r="E1420" s="26">
        <v>0.67</v>
      </c>
      <c r="F1420" s="27" t="s">
        <v>1</v>
      </c>
      <c r="G1420" s="19">
        <v>0</v>
      </c>
      <c r="H1420" s="27" t="s">
        <v>926</v>
      </c>
      <c r="I1420" s="19">
        <f>IF(ISNUMBER(G1420),E1420*G1420,"")</f>
        <v>0</v>
      </c>
      <c r="J1420" s="24"/>
      <c r="K1420" s="19"/>
      <c r="L1420" s="174">
        <v>0</v>
      </c>
    </row>
    <row r="1421" spans="1:12" ht="15.75" hidden="1" thickBot="1" x14ac:dyDescent="0.3">
      <c r="A1421" s="181"/>
      <c r="B1421" s="179"/>
      <c r="C1421" s="25" t="s">
        <v>920</v>
      </c>
      <c r="D1421" s="25" t="s">
        <v>305</v>
      </c>
      <c r="E1421" s="26">
        <v>1.3332999999999999</v>
      </c>
      <c r="F1421" s="27" t="s">
        <v>1</v>
      </c>
      <c r="G1421" s="19">
        <v>0.67449999999999999</v>
      </c>
      <c r="H1421" s="27" t="s">
        <v>926</v>
      </c>
      <c r="I1421" s="19">
        <f>IF(ISNUMBER(G1421),E1421*G1421,"")</f>
        <v>0.89931084999999988</v>
      </c>
      <c r="J1421" s="24"/>
      <c r="K1421" s="19"/>
      <c r="L1421" s="174">
        <v>0</v>
      </c>
    </row>
    <row r="1422" spans="1:12" ht="15.75" hidden="1" thickBot="1" x14ac:dyDescent="0.3">
      <c r="A1422" s="181"/>
      <c r="B1422" s="179"/>
      <c r="C1422" s="25" t="s">
        <v>921</v>
      </c>
      <c r="D1422" s="25" t="s">
        <v>32</v>
      </c>
      <c r="E1422" s="26">
        <v>2.67</v>
      </c>
      <c r="F1422" s="27" t="s">
        <v>1</v>
      </c>
      <c r="G1422" s="19">
        <v>0.48449999999999999</v>
      </c>
      <c r="H1422" s="27" t="s">
        <v>926</v>
      </c>
      <c r="I1422" s="19">
        <f>IF(ISNUMBER(G1422),E1422*G1422,"")</f>
        <v>1.293615</v>
      </c>
      <c r="J1422" s="24"/>
      <c r="K1422" s="19"/>
      <c r="L1422" s="174">
        <v>0</v>
      </c>
    </row>
    <row r="1423" spans="1:12" ht="15.75" hidden="1" thickBot="1" x14ac:dyDescent="0.3">
      <c r="A1423" s="181"/>
      <c r="B1423" s="179"/>
      <c r="C1423" s="25" t="s">
        <v>929</v>
      </c>
      <c r="D1423" s="25" t="s">
        <v>305</v>
      </c>
      <c r="E1423" s="26">
        <v>0.67</v>
      </c>
      <c r="F1423" s="27" t="s">
        <v>1</v>
      </c>
      <c r="G1423" s="19">
        <v>0</v>
      </c>
      <c r="H1423" s="27" t="s">
        <v>926</v>
      </c>
      <c r="I1423" s="19">
        <f>IF(ISNUMBER(G1423),E1423*G1423,"")</f>
        <v>0</v>
      </c>
      <c r="J1423" s="24"/>
      <c r="K1423" s="19"/>
      <c r="L1423" s="174">
        <v>0</v>
      </c>
    </row>
    <row r="1424" spans="1:12" ht="26.25" hidden="1" thickBot="1" x14ac:dyDescent="0.3">
      <c r="A1424" s="181"/>
      <c r="B1424" s="179"/>
      <c r="C1424" s="25" t="s">
        <v>930</v>
      </c>
      <c r="D1424" s="25" t="s">
        <v>184</v>
      </c>
      <c r="E1424" s="26">
        <v>1.05</v>
      </c>
      <c r="F1424" s="27" t="s">
        <v>1</v>
      </c>
      <c r="G1424" s="23">
        <v>0</v>
      </c>
      <c r="H1424" s="27" t="s">
        <v>688</v>
      </c>
      <c r="I1424" s="19">
        <f>IF(ISNUMBER(G1424),E1424*G1424,"")</f>
        <v>0</v>
      </c>
      <c r="J1424" s="24"/>
      <c r="K1424" s="19"/>
      <c r="L1424" s="174">
        <v>0</v>
      </c>
    </row>
    <row r="1425" spans="1:12" ht="15.75" hidden="1" thickBot="1" x14ac:dyDescent="0.3">
      <c r="A1425" s="182"/>
      <c r="B1425" s="183"/>
      <c r="C1425" s="25"/>
      <c r="D1425" s="25"/>
      <c r="E1425" s="26"/>
      <c r="F1425" s="27"/>
      <c r="G1425" s="19" t="s">
        <v>1079</v>
      </c>
      <c r="H1425" s="27"/>
      <c r="I1425" s="19" t="str">
        <f>IF(ISNUMBER(G1425),E1425*G1425,"")</f>
        <v/>
      </c>
      <c r="J1425" s="24"/>
      <c r="K1425" s="19"/>
      <c r="L1425" s="174">
        <v>0</v>
      </c>
    </row>
    <row r="1426" spans="1:12" ht="15.75" hidden="1" thickBot="1" x14ac:dyDescent="0.3">
      <c r="A1426" s="180" t="s">
        <v>931</v>
      </c>
      <c r="B1426" s="178" t="str">
        <f>INDEX(Orçamentária!A:B,MATCH(Composições!A1426,Orçamentária!A:A,0),2)</f>
        <v>Eletrocalha 200x50 mm</v>
      </c>
      <c r="C1426" s="30"/>
      <c r="D1426" s="13" t="str">
        <f>TRIM(INDEX(Orçamentária!C:C,MATCH(Composições!A1426,Orçamentária!A:A,0),1))</f>
        <v>m</v>
      </c>
      <c r="E1426" s="14"/>
      <c r="F1426" s="15" t="s">
        <v>932</v>
      </c>
      <c r="G1426" s="31" t="s">
        <v>1079</v>
      </c>
      <c r="H1426" s="16"/>
      <c r="I1426" s="16" t="str">
        <f>IF(ISNUMBER(G1426),E1426*G1426,"")</f>
        <v/>
      </c>
      <c r="J1426" s="17"/>
      <c r="K1426" s="18"/>
      <c r="L1426" s="174">
        <v>0</v>
      </c>
    </row>
    <row r="1427" spans="1:12" ht="15.75" hidden="1" thickBot="1" x14ac:dyDescent="0.3">
      <c r="A1427" s="181"/>
      <c r="B1427" s="179"/>
      <c r="C1427" s="20"/>
      <c r="D1427" s="20"/>
      <c r="E1427" s="21"/>
      <c r="F1427" s="22"/>
      <c r="G1427" s="32" t="s">
        <v>1079</v>
      </c>
      <c r="H1427" s="20"/>
      <c r="I1427" s="19" t="str">
        <f>IF(ISNUMBER(G1427),E1427*G1427,"")</f>
        <v/>
      </c>
      <c r="J1427" s="24"/>
      <c r="K1427" s="19"/>
      <c r="L1427" s="174">
        <v>0</v>
      </c>
    </row>
    <row r="1428" spans="1:12" ht="15.75" hidden="1" thickBot="1" x14ac:dyDescent="0.3">
      <c r="A1428" s="181"/>
      <c r="B1428" s="179"/>
      <c r="C1428" s="25" t="s">
        <v>54</v>
      </c>
      <c r="D1428" s="25" t="s">
        <v>21</v>
      </c>
      <c r="E1428" s="26">
        <v>0.5</v>
      </c>
      <c r="F1428" s="27" t="s">
        <v>933</v>
      </c>
      <c r="G1428" s="19">
        <v>19.313499999999998</v>
      </c>
      <c r="H1428" s="27" t="s">
        <v>55</v>
      </c>
      <c r="I1428" s="19">
        <f>IF(ISNUMBER(G1428),E1428*G1428,"")</f>
        <v>9.6567499999999988</v>
      </c>
      <c r="J1428" s="28">
        <f>SUM(I1428:I1439)</f>
        <v>31.667525149999996</v>
      </c>
      <c r="K1428" s="29"/>
      <c r="L1428" s="174">
        <v>0</v>
      </c>
    </row>
    <row r="1429" spans="1:12" ht="15.75" hidden="1" thickBot="1" x14ac:dyDescent="0.3">
      <c r="A1429" s="181"/>
      <c r="B1429" s="179"/>
      <c r="C1429" s="25" t="s">
        <v>144</v>
      </c>
      <c r="D1429" s="36" t="s">
        <v>21</v>
      </c>
      <c r="E1429" s="26">
        <v>0.5</v>
      </c>
      <c r="F1429" s="27" t="s">
        <v>933</v>
      </c>
      <c r="G1429" s="19">
        <v>15.218999999999999</v>
      </c>
      <c r="H1429" s="27" t="s">
        <v>145</v>
      </c>
      <c r="I1429" s="19">
        <f>IF(ISNUMBER(G1429),E1429*G1429,"")</f>
        <v>7.6094999999999997</v>
      </c>
      <c r="J1429" s="24"/>
      <c r="K1429" s="19"/>
      <c r="L1429" s="174">
        <v>0</v>
      </c>
    </row>
    <row r="1430" spans="1:12" ht="26.25" hidden="1" thickBot="1" x14ac:dyDescent="0.3">
      <c r="A1430" s="181"/>
      <c r="B1430" s="179"/>
      <c r="C1430" s="25" t="s">
        <v>912</v>
      </c>
      <c r="D1430" s="25" t="s">
        <v>305</v>
      </c>
      <c r="E1430" s="26">
        <v>1.3332999999999999</v>
      </c>
      <c r="F1430" s="27" t="s">
        <v>933</v>
      </c>
      <c r="G1430" s="19">
        <v>4.1989999999999998</v>
      </c>
      <c r="H1430" s="27" t="s">
        <v>934</v>
      </c>
      <c r="I1430" s="19">
        <f>IF(ISNUMBER(G1430),E1430*G1430,"")</f>
        <v>5.5985266999999999</v>
      </c>
      <c r="J1430" s="56"/>
      <c r="K1430" s="1"/>
      <c r="L1430" s="174">
        <v>0</v>
      </c>
    </row>
    <row r="1431" spans="1:12" ht="26.25" hidden="1" thickBot="1" x14ac:dyDescent="0.3">
      <c r="A1431" s="181"/>
      <c r="B1431" s="179"/>
      <c r="C1431" s="25" t="s">
        <v>935</v>
      </c>
      <c r="D1431" s="25" t="s">
        <v>184</v>
      </c>
      <c r="E1431" s="26">
        <v>1.05</v>
      </c>
      <c r="F1431" s="27" t="s">
        <v>933</v>
      </c>
      <c r="G1431" s="23" t="s">
        <v>1079</v>
      </c>
      <c r="H1431" s="27" t="s">
        <v>688</v>
      </c>
      <c r="I1431" s="19" t="str">
        <f>IF(ISNUMBER(G1431),E1431*G1431,"")</f>
        <v/>
      </c>
      <c r="J1431" s="24"/>
      <c r="K1431" s="19"/>
      <c r="L1431" s="174">
        <v>0</v>
      </c>
    </row>
    <row r="1432" spans="1:12" ht="15.75" hidden="1" thickBot="1" x14ac:dyDescent="0.3">
      <c r="A1432" s="181"/>
      <c r="B1432" s="179"/>
      <c r="C1432" s="25" t="s">
        <v>915</v>
      </c>
      <c r="D1432" s="25" t="s">
        <v>184</v>
      </c>
      <c r="E1432" s="26">
        <v>1.6</v>
      </c>
      <c r="F1432" s="27" t="s">
        <v>933</v>
      </c>
      <c r="G1432" s="19">
        <v>2.5649999999999999</v>
      </c>
      <c r="H1432" s="27" t="s">
        <v>934</v>
      </c>
      <c r="I1432" s="19">
        <f>IF(ISNUMBER(G1432),E1432*G1432,"")</f>
        <v>4.1040000000000001</v>
      </c>
      <c r="J1432" s="24"/>
      <c r="K1432" s="19"/>
      <c r="L1432" s="174">
        <v>0</v>
      </c>
    </row>
    <row r="1433" spans="1:12" ht="15.75" hidden="1" thickBot="1" x14ac:dyDescent="0.3">
      <c r="A1433" s="181"/>
      <c r="B1433" s="179"/>
      <c r="C1433" s="25" t="s">
        <v>916</v>
      </c>
      <c r="D1433" s="25" t="s">
        <v>588</v>
      </c>
      <c r="E1433" s="26">
        <v>5.3367000000000004</v>
      </c>
      <c r="F1433" s="27" t="s">
        <v>0</v>
      </c>
      <c r="G1433" s="23">
        <v>0.22799999999999998</v>
      </c>
      <c r="H1433" s="27" t="s">
        <v>917</v>
      </c>
      <c r="I1433" s="19">
        <f>IF(ISNUMBER(G1433),E1433*G1433,"")</f>
        <v>1.2167676000000001</v>
      </c>
      <c r="J1433" s="24"/>
      <c r="K1433" s="19"/>
      <c r="L1433" s="174">
        <v>0</v>
      </c>
    </row>
    <row r="1434" spans="1:12" ht="15.75" hidden="1" thickBot="1" x14ac:dyDescent="0.3">
      <c r="A1434" s="181"/>
      <c r="B1434" s="179"/>
      <c r="C1434" s="25" t="s">
        <v>918</v>
      </c>
      <c r="D1434" s="25" t="s">
        <v>305</v>
      </c>
      <c r="E1434" s="26">
        <v>5.34</v>
      </c>
      <c r="F1434" s="27" t="s">
        <v>933</v>
      </c>
      <c r="G1434" s="19">
        <v>0.152</v>
      </c>
      <c r="H1434" s="27" t="s">
        <v>934</v>
      </c>
      <c r="I1434" s="19">
        <f>IF(ISNUMBER(G1434),E1434*G1434,"")</f>
        <v>0.81167999999999996</v>
      </c>
      <c r="J1434" s="24"/>
      <c r="K1434" s="19"/>
      <c r="L1434" s="174">
        <v>0</v>
      </c>
    </row>
    <row r="1435" spans="1:12" ht="15.75" hidden="1" thickBot="1" x14ac:dyDescent="0.3">
      <c r="A1435" s="181"/>
      <c r="B1435" s="179"/>
      <c r="C1435" s="25" t="s">
        <v>936</v>
      </c>
      <c r="D1435" s="25" t="s">
        <v>305</v>
      </c>
      <c r="E1435" s="26">
        <v>0.67</v>
      </c>
      <c r="F1435" s="27" t="s">
        <v>933</v>
      </c>
      <c r="G1435" s="19">
        <v>0</v>
      </c>
      <c r="H1435" s="27" t="s">
        <v>934</v>
      </c>
      <c r="I1435" s="19">
        <f>IF(ISNUMBER(G1435),E1435*G1435,"")</f>
        <v>0</v>
      </c>
      <c r="J1435" s="24"/>
      <c r="K1435" s="19"/>
      <c r="L1435" s="174">
        <v>0</v>
      </c>
    </row>
    <row r="1436" spans="1:12" ht="15.75" hidden="1" thickBot="1" x14ac:dyDescent="0.3">
      <c r="A1436" s="181"/>
      <c r="B1436" s="179"/>
      <c r="C1436" s="25" t="s">
        <v>920</v>
      </c>
      <c r="D1436" s="25" t="s">
        <v>305</v>
      </c>
      <c r="E1436" s="26">
        <v>1.3332999999999999</v>
      </c>
      <c r="F1436" s="27" t="s">
        <v>933</v>
      </c>
      <c r="G1436" s="19">
        <v>0.67449999999999999</v>
      </c>
      <c r="H1436" s="27" t="s">
        <v>934</v>
      </c>
      <c r="I1436" s="19">
        <f>IF(ISNUMBER(G1436),E1436*G1436,"")</f>
        <v>0.89931084999999988</v>
      </c>
      <c r="J1436" s="24"/>
      <c r="K1436" s="19"/>
      <c r="L1436" s="174">
        <v>0</v>
      </c>
    </row>
    <row r="1437" spans="1:12" ht="15.75" hidden="1" thickBot="1" x14ac:dyDescent="0.3">
      <c r="A1437" s="181"/>
      <c r="B1437" s="179"/>
      <c r="C1437" s="25" t="s">
        <v>921</v>
      </c>
      <c r="D1437" s="25" t="s">
        <v>32</v>
      </c>
      <c r="E1437" s="26">
        <v>2.67</v>
      </c>
      <c r="F1437" s="27" t="s">
        <v>933</v>
      </c>
      <c r="G1437" s="19">
        <v>0.48449999999999999</v>
      </c>
      <c r="H1437" s="27" t="s">
        <v>934</v>
      </c>
      <c r="I1437" s="19">
        <f>IF(ISNUMBER(G1437),E1437*G1437,"")</f>
        <v>1.293615</v>
      </c>
      <c r="J1437" s="24"/>
      <c r="K1437" s="19"/>
      <c r="L1437" s="174">
        <v>0</v>
      </c>
    </row>
    <row r="1438" spans="1:12" ht="15.75" hidden="1" thickBot="1" x14ac:dyDescent="0.3">
      <c r="A1438" s="181"/>
      <c r="B1438" s="179"/>
      <c r="C1438" s="25" t="s">
        <v>922</v>
      </c>
      <c r="D1438" s="25" t="s">
        <v>305</v>
      </c>
      <c r="E1438" s="26">
        <v>0.67</v>
      </c>
      <c r="F1438" s="27" t="s">
        <v>933</v>
      </c>
      <c r="G1438" s="19">
        <v>0.71249999999999991</v>
      </c>
      <c r="H1438" s="27" t="s">
        <v>934</v>
      </c>
      <c r="I1438" s="19">
        <f>IF(ISNUMBER(G1438),E1438*G1438,"")</f>
        <v>0.47737499999999999</v>
      </c>
      <c r="J1438" s="24"/>
      <c r="K1438" s="19"/>
      <c r="L1438" s="174">
        <v>0</v>
      </c>
    </row>
    <row r="1439" spans="1:12" ht="26.25" hidden="1" thickBot="1" x14ac:dyDescent="0.3">
      <c r="A1439" s="181"/>
      <c r="B1439" s="179"/>
      <c r="C1439" s="25" t="s">
        <v>930</v>
      </c>
      <c r="D1439" s="25" t="s">
        <v>184</v>
      </c>
      <c r="E1439" s="26">
        <v>1.05</v>
      </c>
      <c r="F1439" s="27" t="s">
        <v>933</v>
      </c>
      <c r="G1439" s="23">
        <v>0</v>
      </c>
      <c r="H1439" s="27" t="s">
        <v>688</v>
      </c>
      <c r="I1439" s="19">
        <f>IF(ISNUMBER(G1439),E1439*G1439,"")</f>
        <v>0</v>
      </c>
      <c r="J1439" s="24"/>
      <c r="K1439" s="19"/>
      <c r="L1439" s="174">
        <v>0</v>
      </c>
    </row>
    <row r="1440" spans="1:12" ht="15.75" hidden="1" thickBot="1" x14ac:dyDescent="0.3">
      <c r="A1440" s="182"/>
      <c r="B1440" s="183"/>
      <c r="C1440" s="25"/>
      <c r="D1440" s="25"/>
      <c r="E1440" s="26"/>
      <c r="F1440" s="27"/>
      <c r="G1440" s="19" t="s">
        <v>1079</v>
      </c>
      <c r="H1440" s="27"/>
      <c r="I1440" s="19" t="str">
        <f>IF(ISNUMBER(G1440),E1440*G1440,"")</f>
        <v/>
      </c>
      <c r="J1440" s="24"/>
      <c r="K1440" s="19"/>
      <c r="L1440" s="174">
        <v>0</v>
      </c>
    </row>
    <row r="1441" spans="1:12" ht="15.75" hidden="1" thickBot="1" x14ac:dyDescent="0.3">
      <c r="A1441" s="180" t="s">
        <v>937</v>
      </c>
      <c r="B1441" s="178" t="str">
        <f>INDEX(Orçamentária!A:B,MATCH(Composições!A1441,Orçamentária!A:A,0),2)</f>
        <v>Eletrocalha 300x100 mm</v>
      </c>
      <c r="C1441" s="30"/>
      <c r="D1441" s="13" t="str">
        <f>TRIM(INDEX(Orçamentária!C:C,MATCH(Composições!A1441,Orçamentária!A:A,0),1))</f>
        <v>m</v>
      </c>
      <c r="E1441" s="14"/>
      <c r="F1441" s="15" t="s">
        <v>938</v>
      </c>
      <c r="G1441" s="31" t="s">
        <v>1079</v>
      </c>
      <c r="H1441" s="16"/>
      <c r="I1441" s="16" t="str">
        <f>IF(ISNUMBER(G1441),E1441*G1441,"")</f>
        <v/>
      </c>
      <c r="J1441" s="17"/>
      <c r="K1441" s="18"/>
      <c r="L1441" s="174">
        <v>0</v>
      </c>
    </row>
    <row r="1442" spans="1:12" ht="15.75" hidden="1" thickBot="1" x14ac:dyDescent="0.3">
      <c r="A1442" s="181"/>
      <c r="B1442" s="179"/>
      <c r="C1442" s="20"/>
      <c r="D1442" s="20"/>
      <c r="E1442" s="21"/>
      <c r="F1442" s="22"/>
      <c r="G1442" s="32" t="s">
        <v>1079</v>
      </c>
      <c r="H1442" s="20"/>
      <c r="I1442" s="19" t="str">
        <f>IF(ISNUMBER(G1442),E1442*G1442,"")</f>
        <v/>
      </c>
      <c r="J1442" s="24"/>
      <c r="K1442" s="19"/>
      <c r="L1442" s="174">
        <v>0</v>
      </c>
    </row>
    <row r="1443" spans="1:12" ht="15.75" hidden="1" thickBot="1" x14ac:dyDescent="0.3">
      <c r="A1443" s="181"/>
      <c r="B1443" s="179"/>
      <c r="C1443" s="25" t="s">
        <v>54</v>
      </c>
      <c r="D1443" s="25" t="s">
        <v>21</v>
      </c>
      <c r="E1443" s="26">
        <v>0.65</v>
      </c>
      <c r="F1443" s="27" t="s">
        <v>2</v>
      </c>
      <c r="G1443" s="19">
        <v>19.313499999999998</v>
      </c>
      <c r="H1443" s="27" t="s">
        <v>55</v>
      </c>
      <c r="I1443" s="19">
        <f>IF(ISNUMBER(G1443),E1443*G1443,"")</f>
        <v>12.553774999999998</v>
      </c>
      <c r="J1443" s="28">
        <f>SUM(I1443:I1454)</f>
        <v>37.006525150000002</v>
      </c>
      <c r="K1443" s="29"/>
      <c r="L1443" s="174">
        <v>0</v>
      </c>
    </row>
    <row r="1444" spans="1:12" ht="15.75" hidden="1" thickBot="1" x14ac:dyDescent="0.3">
      <c r="A1444" s="181"/>
      <c r="B1444" s="179"/>
      <c r="C1444" s="25" t="s">
        <v>144</v>
      </c>
      <c r="D1444" s="36" t="s">
        <v>21</v>
      </c>
      <c r="E1444" s="26">
        <v>0.65</v>
      </c>
      <c r="F1444" s="27" t="s">
        <v>2</v>
      </c>
      <c r="G1444" s="19">
        <v>15.218999999999999</v>
      </c>
      <c r="H1444" s="27" t="s">
        <v>145</v>
      </c>
      <c r="I1444" s="19">
        <f>IF(ISNUMBER(G1444),E1444*G1444,"")</f>
        <v>9.8923500000000004</v>
      </c>
      <c r="J1444" s="24"/>
      <c r="K1444" s="19"/>
      <c r="L1444" s="174">
        <v>0</v>
      </c>
    </row>
    <row r="1445" spans="1:12" ht="26.25" hidden="1" thickBot="1" x14ac:dyDescent="0.3">
      <c r="A1445" s="181"/>
      <c r="B1445" s="179"/>
      <c r="C1445" s="25" t="s">
        <v>912</v>
      </c>
      <c r="D1445" s="25" t="s">
        <v>305</v>
      </c>
      <c r="E1445" s="26">
        <v>1.3332999999999999</v>
      </c>
      <c r="F1445" s="27" t="s">
        <v>2</v>
      </c>
      <c r="G1445" s="19">
        <v>4.1989999999999998</v>
      </c>
      <c r="H1445" s="27" t="s">
        <v>939</v>
      </c>
      <c r="I1445" s="19">
        <f>IF(ISNUMBER(G1445),E1445*G1445,"")</f>
        <v>5.5985266999999999</v>
      </c>
      <c r="J1445" s="56"/>
      <c r="K1445" s="1"/>
      <c r="L1445" s="174">
        <v>0</v>
      </c>
    </row>
    <row r="1446" spans="1:12" ht="26.25" hidden="1" thickBot="1" x14ac:dyDescent="0.3">
      <c r="A1446" s="181"/>
      <c r="B1446" s="179"/>
      <c r="C1446" s="25" t="s">
        <v>940</v>
      </c>
      <c r="D1446" s="25" t="s">
        <v>184</v>
      </c>
      <c r="E1446" s="26">
        <v>1.05</v>
      </c>
      <c r="F1446" s="27" t="s">
        <v>2</v>
      </c>
      <c r="G1446" s="23" t="s">
        <v>1079</v>
      </c>
      <c r="H1446" s="27" t="s">
        <v>688</v>
      </c>
      <c r="I1446" s="19" t="str">
        <f>IF(ISNUMBER(G1446),E1446*G1446,"")</f>
        <v/>
      </c>
      <c r="J1446" s="24"/>
      <c r="K1446" s="19"/>
      <c r="L1446" s="174">
        <v>0</v>
      </c>
    </row>
    <row r="1447" spans="1:12" ht="15.75" hidden="1" thickBot="1" x14ac:dyDescent="0.3">
      <c r="A1447" s="181"/>
      <c r="B1447" s="179"/>
      <c r="C1447" s="25" t="s">
        <v>915</v>
      </c>
      <c r="D1447" s="25" t="s">
        <v>184</v>
      </c>
      <c r="E1447" s="26">
        <v>1.6</v>
      </c>
      <c r="F1447" s="27" t="s">
        <v>2</v>
      </c>
      <c r="G1447" s="19">
        <v>2.5649999999999999</v>
      </c>
      <c r="H1447" s="27" t="s">
        <v>939</v>
      </c>
      <c r="I1447" s="19">
        <f>IF(ISNUMBER(G1447),E1447*G1447,"")</f>
        <v>4.1040000000000001</v>
      </c>
      <c r="J1447" s="24"/>
      <c r="K1447" s="19"/>
      <c r="L1447" s="174">
        <v>0</v>
      </c>
    </row>
    <row r="1448" spans="1:12" ht="15.75" hidden="1" thickBot="1" x14ac:dyDescent="0.3">
      <c r="A1448" s="181"/>
      <c r="B1448" s="179"/>
      <c r="C1448" s="25" t="s">
        <v>916</v>
      </c>
      <c r="D1448" s="25" t="s">
        <v>588</v>
      </c>
      <c r="E1448" s="26">
        <v>5.3367000000000004</v>
      </c>
      <c r="F1448" s="27" t="s">
        <v>0</v>
      </c>
      <c r="G1448" s="23">
        <v>0.22799999999999998</v>
      </c>
      <c r="H1448" s="27" t="s">
        <v>917</v>
      </c>
      <c r="I1448" s="19">
        <f>IF(ISNUMBER(G1448),E1448*G1448,"")</f>
        <v>1.2167676000000001</v>
      </c>
      <c r="J1448" s="24"/>
      <c r="K1448" s="19"/>
      <c r="L1448" s="174">
        <v>0</v>
      </c>
    </row>
    <row r="1449" spans="1:12" ht="15.75" hidden="1" thickBot="1" x14ac:dyDescent="0.3">
      <c r="A1449" s="181"/>
      <c r="B1449" s="179"/>
      <c r="C1449" s="25" t="s">
        <v>918</v>
      </c>
      <c r="D1449" s="25" t="s">
        <v>305</v>
      </c>
      <c r="E1449" s="26">
        <v>5.34</v>
      </c>
      <c r="F1449" s="27" t="s">
        <v>2</v>
      </c>
      <c r="G1449" s="19">
        <v>0.152</v>
      </c>
      <c r="H1449" s="27" t="s">
        <v>939</v>
      </c>
      <c r="I1449" s="19">
        <f>IF(ISNUMBER(G1449),E1449*G1449,"")</f>
        <v>0.81167999999999996</v>
      </c>
      <c r="J1449" s="24"/>
      <c r="K1449" s="19"/>
      <c r="L1449" s="174">
        <v>0</v>
      </c>
    </row>
    <row r="1450" spans="1:12" ht="15.75" hidden="1" thickBot="1" x14ac:dyDescent="0.3">
      <c r="A1450" s="181"/>
      <c r="B1450" s="179"/>
      <c r="C1450" s="25" t="s">
        <v>941</v>
      </c>
      <c r="D1450" s="25" t="s">
        <v>305</v>
      </c>
      <c r="E1450" s="26">
        <v>0.67</v>
      </c>
      <c r="F1450" s="27" t="s">
        <v>2</v>
      </c>
      <c r="G1450" s="19">
        <v>0.95</v>
      </c>
      <c r="H1450" s="27" t="s">
        <v>939</v>
      </c>
      <c r="I1450" s="19">
        <f>IF(ISNUMBER(G1450),E1450*G1450,"")</f>
        <v>0.63649999999999995</v>
      </c>
      <c r="J1450" s="24"/>
      <c r="K1450" s="19"/>
      <c r="L1450" s="174">
        <v>0</v>
      </c>
    </row>
    <row r="1451" spans="1:12" ht="15.75" hidden="1" thickBot="1" x14ac:dyDescent="0.3">
      <c r="A1451" s="181"/>
      <c r="B1451" s="179"/>
      <c r="C1451" s="25" t="s">
        <v>920</v>
      </c>
      <c r="D1451" s="25" t="s">
        <v>305</v>
      </c>
      <c r="E1451" s="26">
        <v>1.3332999999999999</v>
      </c>
      <c r="F1451" s="27" t="s">
        <v>2</v>
      </c>
      <c r="G1451" s="19">
        <v>0.67449999999999999</v>
      </c>
      <c r="H1451" s="27" t="s">
        <v>939</v>
      </c>
      <c r="I1451" s="19">
        <f>IF(ISNUMBER(G1451),E1451*G1451,"")</f>
        <v>0.89931084999999988</v>
      </c>
      <c r="J1451" s="24"/>
      <c r="K1451" s="19"/>
      <c r="L1451" s="174">
        <v>0</v>
      </c>
    </row>
    <row r="1452" spans="1:12" ht="15.75" hidden="1" thickBot="1" x14ac:dyDescent="0.3">
      <c r="A1452" s="181"/>
      <c r="B1452" s="179"/>
      <c r="C1452" s="25" t="s">
        <v>921</v>
      </c>
      <c r="D1452" s="25" t="s">
        <v>32</v>
      </c>
      <c r="E1452" s="26">
        <v>2.67</v>
      </c>
      <c r="F1452" s="27" t="s">
        <v>2</v>
      </c>
      <c r="G1452" s="19">
        <v>0.48449999999999999</v>
      </c>
      <c r="H1452" s="27" t="s">
        <v>939</v>
      </c>
      <c r="I1452" s="19">
        <f>IF(ISNUMBER(G1452),E1452*G1452,"")</f>
        <v>1.293615</v>
      </c>
      <c r="J1452" s="24"/>
      <c r="K1452" s="19"/>
      <c r="L1452" s="174">
        <v>0</v>
      </c>
    </row>
    <row r="1453" spans="1:12" ht="15.75" hidden="1" thickBot="1" x14ac:dyDescent="0.3">
      <c r="A1453" s="181"/>
      <c r="B1453" s="179"/>
      <c r="C1453" s="25" t="s">
        <v>929</v>
      </c>
      <c r="D1453" s="25" t="s">
        <v>305</v>
      </c>
      <c r="E1453" s="26">
        <v>0.67</v>
      </c>
      <c r="F1453" s="27" t="s">
        <v>2</v>
      </c>
      <c r="G1453" s="19">
        <v>0</v>
      </c>
      <c r="H1453" s="27" t="s">
        <v>939</v>
      </c>
      <c r="I1453" s="19">
        <f>IF(ISNUMBER(G1453),E1453*G1453,"")</f>
        <v>0</v>
      </c>
      <c r="J1453" s="24"/>
      <c r="K1453" s="19"/>
      <c r="L1453" s="174">
        <v>0</v>
      </c>
    </row>
    <row r="1454" spans="1:12" ht="26.25" hidden="1" thickBot="1" x14ac:dyDescent="0.3">
      <c r="A1454" s="181"/>
      <c r="B1454" s="179"/>
      <c r="C1454" s="25" t="s">
        <v>942</v>
      </c>
      <c r="D1454" s="25" t="s">
        <v>184</v>
      </c>
      <c r="E1454" s="26">
        <v>1.05</v>
      </c>
      <c r="F1454" s="27" t="s">
        <v>2</v>
      </c>
      <c r="G1454" s="23">
        <v>0</v>
      </c>
      <c r="H1454" s="27" t="s">
        <v>688</v>
      </c>
      <c r="I1454" s="19">
        <f>IF(ISNUMBER(G1454),E1454*G1454,"")</f>
        <v>0</v>
      </c>
      <c r="J1454" s="24"/>
      <c r="K1454" s="19"/>
      <c r="L1454" s="174">
        <v>0</v>
      </c>
    </row>
    <row r="1455" spans="1:12" ht="15.75" hidden="1" thickBot="1" x14ac:dyDescent="0.3">
      <c r="A1455" s="182"/>
      <c r="B1455" s="183"/>
      <c r="C1455" s="25"/>
      <c r="D1455" s="25"/>
      <c r="E1455" s="26"/>
      <c r="F1455" s="27"/>
      <c r="G1455" s="19" t="s">
        <v>1079</v>
      </c>
      <c r="H1455" s="27"/>
      <c r="I1455" s="19" t="str">
        <f>IF(ISNUMBER(G1455),E1455*G1455,"")</f>
        <v/>
      </c>
      <c r="J1455" s="24"/>
      <c r="K1455" s="19"/>
      <c r="L1455" s="174">
        <v>0</v>
      </c>
    </row>
    <row r="1456" spans="1:12" ht="15.75" hidden="1" thickBot="1" x14ac:dyDescent="0.3">
      <c r="A1456" s="180" t="s">
        <v>943</v>
      </c>
      <c r="B1456" s="178" t="str">
        <f>INDEX(Orçamentária!A:B,MATCH(Composições!A1456,Orçamentária!A:A,0),2)</f>
        <v>Eletrocalha 300x50 mm</v>
      </c>
      <c r="C1456" s="30"/>
      <c r="D1456" s="13" t="str">
        <f>TRIM(INDEX(Orçamentária!C:C,MATCH(Composições!A1456,Orçamentária!A:A,0),1))</f>
        <v>m</v>
      </c>
      <c r="E1456" s="14"/>
      <c r="F1456" s="15" t="s">
        <v>944</v>
      </c>
      <c r="G1456" s="31" t="s">
        <v>1079</v>
      </c>
      <c r="H1456" s="16"/>
      <c r="I1456" s="16" t="str">
        <f>IF(ISNUMBER(G1456),E1456*G1456,"")</f>
        <v/>
      </c>
      <c r="J1456" s="17"/>
      <c r="K1456" s="18"/>
      <c r="L1456" s="174">
        <v>0</v>
      </c>
    </row>
    <row r="1457" spans="1:12" ht="15.75" hidden="1" thickBot="1" x14ac:dyDescent="0.3">
      <c r="A1457" s="181"/>
      <c r="B1457" s="179"/>
      <c r="C1457" s="20"/>
      <c r="D1457" s="20"/>
      <c r="E1457" s="21"/>
      <c r="F1457" s="22"/>
      <c r="G1457" s="32" t="s">
        <v>1079</v>
      </c>
      <c r="H1457" s="20"/>
      <c r="I1457" s="19" t="str">
        <f>IF(ISNUMBER(G1457),E1457*G1457,"")</f>
        <v/>
      </c>
      <c r="J1457" s="24"/>
      <c r="K1457" s="19"/>
      <c r="L1457" s="174">
        <v>0</v>
      </c>
    </row>
    <row r="1458" spans="1:12" ht="15.75" hidden="1" thickBot="1" x14ac:dyDescent="0.3">
      <c r="A1458" s="181"/>
      <c r="B1458" s="179"/>
      <c r="C1458" s="25" t="s">
        <v>54</v>
      </c>
      <c r="D1458" s="25" t="s">
        <v>21</v>
      </c>
      <c r="E1458" s="26">
        <v>0.55000000000000004</v>
      </c>
      <c r="F1458" s="27" t="s">
        <v>945</v>
      </c>
      <c r="G1458" s="19">
        <v>19.313499999999998</v>
      </c>
      <c r="H1458" s="27" t="s">
        <v>55</v>
      </c>
      <c r="I1458" s="19">
        <f>IF(ISNUMBER(G1458),E1458*G1458,"")</f>
        <v>10.622425</v>
      </c>
      <c r="J1458" s="28">
        <f>SUM(I1458:I1469)</f>
        <v>33.394150150000002</v>
      </c>
      <c r="K1458" s="29"/>
      <c r="L1458" s="174">
        <v>0</v>
      </c>
    </row>
    <row r="1459" spans="1:12" ht="15.75" hidden="1" thickBot="1" x14ac:dyDescent="0.3">
      <c r="A1459" s="181"/>
      <c r="B1459" s="179"/>
      <c r="C1459" s="25" t="s">
        <v>144</v>
      </c>
      <c r="D1459" s="36" t="s">
        <v>21</v>
      </c>
      <c r="E1459" s="26">
        <v>0.55000000000000004</v>
      </c>
      <c r="F1459" s="27" t="s">
        <v>945</v>
      </c>
      <c r="G1459" s="19">
        <v>15.218999999999999</v>
      </c>
      <c r="H1459" s="27" t="s">
        <v>145</v>
      </c>
      <c r="I1459" s="19">
        <f>IF(ISNUMBER(G1459),E1459*G1459,"")</f>
        <v>8.3704499999999999</v>
      </c>
      <c r="J1459" s="24"/>
      <c r="K1459" s="19"/>
      <c r="L1459" s="174">
        <v>0</v>
      </c>
    </row>
    <row r="1460" spans="1:12" ht="26.25" hidden="1" thickBot="1" x14ac:dyDescent="0.3">
      <c r="A1460" s="181"/>
      <c r="B1460" s="179"/>
      <c r="C1460" s="25" t="s">
        <v>912</v>
      </c>
      <c r="D1460" s="25" t="s">
        <v>305</v>
      </c>
      <c r="E1460" s="26">
        <v>1.3332999999999999</v>
      </c>
      <c r="F1460" s="27" t="s">
        <v>945</v>
      </c>
      <c r="G1460" s="19">
        <v>4.1989999999999998</v>
      </c>
      <c r="H1460" s="27" t="s">
        <v>946</v>
      </c>
      <c r="I1460" s="19">
        <f>IF(ISNUMBER(G1460),E1460*G1460,"")</f>
        <v>5.5985266999999999</v>
      </c>
      <c r="J1460" s="56"/>
      <c r="K1460" s="1"/>
      <c r="L1460" s="174">
        <v>0</v>
      </c>
    </row>
    <row r="1461" spans="1:12" ht="26.25" hidden="1" thickBot="1" x14ac:dyDescent="0.3">
      <c r="A1461" s="181"/>
      <c r="B1461" s="179"/>
      <c r="C1461" s="25" t="s">
        <v>947</v>
      </c>
      <c r="D1461" s="25" t="s">
        <v>184</v>
      </c>
      <c r="E1461" s="26">
        <v>1.05</v>
      </c>
      <c r="F1461" s="27" t="s">
        <v>945</v>
      </c>
      <c r="G1461" s="23" t="s">
        <v>1079</v>
      </c>
      <c r="H1461" s="27" t="s">
        <v>688</v>
      </c>
      <c r="I1461" s="19" t="str">
        <f>IF(ISNUMBER(G1461),E1461*G1461,"")</f>
        <v/>
      </c>
      <c r="J1461" s="24"/>
      <c r="K1461" s="19"/>
      <c r="L1461" s="174">
        <v>0</v>
      </c>
    </row>
    <row r="1462" spans="1:12" ht="15.75" hidden="1" thickBot="1" x14ac:dyDescent="0.3">
      <c r="A1462" s="181"/>
      <c r="B1462" s="179"/>
      <c r="C1462" s="25" t="s">
        <v>915</v>
      </c>
      <c r="D1462" s="25" t="s">
        <v>184</v>
      </c>
      <c r="E1462" s="26">
        <v>1.6</v>
      </c>
      <c r="F1462" s="27" t="s">
        <v>945</v>
      </c>
      <c r="G1462" s="19">
        <v>2.5649999999999999</v>
      </c>
      <c r="H1462" s="27" t="s">
        <v>946</v>
      </c>
      <c r="I1462" s="19">
        <f>IF(ISNUMBER(G1462),E1462*G1462,"")</f>
        <v>4.1040000000000001</v>
      </c>
      <c r="J1462" s="24"/>
      <c r="K1462" s="19"/>
      <c r="L1462" s="174">
        <v>0</v>
      </c>
    </row>
    <row r="1463" spans="1:12" ht="15.75" hidden="1" thickBot="1" x14ac:dyDescent="0.3">
      <c r="A1463" s="181"/>
      <c r="B1463" s="179"/>
      <c r="C1463" s="25" t="s">
        <v>916</v>
      </c>
      <c r="D1463" s="25" t="s">
        <v>588</v>
      </c>
      <c r="E1463" s="26">
        <v>5.3367000000000004</v>
      </c>
      <c r="F1463" s="27" t="s">
        <v>0</v>
      </c>
      <c r="G1463" s="23">
        <v>0.22799999999999998</v>
      </c>
      <c r="H1463" s="27" t="s">
        <v>917</v>
      </c>
      <c r="I1463" s="19">
        <f>IF(ISNUMBER(G1463),E1463*G1463,"")</f>
        <v>1.2167676000000001</v>
      </c>
      <c r="J1463" s="24"/>
      <c r="K1463" s="19"/>
      <c r="L1463" s="174">
        <v>0</v>
      </c>
    </row>
    <row r="1464" spans="1:12" ht="15.75" hidden="1" thickBot="1" x14ac:dyDescent="0.3">
      <c r="A1464" s="181"/>
      <c r="B1464" s="179"/>
      <c r="C1464" s="25" t="s">
        <v>918</v>
      </c>
      <c r="D1464" s="25" t="s">
        <v>305</v>
      </c>
      <c r="E1464" s="26">
        <v>5.34</v>
      </c>
      <c r="F1464" s="27" t="s">
        <v>945</v>
      </c>
      <c r="G1464" s="19">
        <v>0.152</v>
      </c>
      <c r="H1464" s="27" t="s">
        <v>946</v>
      </c>
      <c r="I1464" s="19">
        <f>IF(ISNUMBER(G1464),E1464*G1464,"")</f>
        <v>0.81167999999999996</v>
      </c>
      <c r="J1464" s="24"/>
      <c r="K1464" s="19"/>
      <c r="L1464" s="174">
        <v>0</v>
      </c>
    </row>
    <row r="1465" spans="1:12" ht="15.75" hidden="1" thickBot="1" x14ac:dyDescent="0.3">
      <c r="A1465" s="181"/>
      <c r="B1465" s="179"/>
      <c r="C1465" s="25" t="s">
        <v>948</v>
      </c>
      <c r="D1465" s="25" t="s">
        <v>305</v>
      </c>
      <c r="E1465" s="26">
        <v>0.67</v>
      </c>
      <c r="F1465" s="27" t="s">
        <v>945</v>
      </c>
      <c r="G1465" s="19">
        <v>0</v>
      </c>
      <c r="H1465" s="27" t="s">
        <v>946</v>
      </c>
      <c r="I1465" s="19">
        <f>IF(ISNUMBER(G1465),E1465*G1465,"")</f>
        <v>0</v>
      </c>
      <c r="J1465" s="24"/>
      <c r="K1465" s="19"/>
      <c r="L1465" s="174">
        <v>0</v>
      </c>
    </row>
    <row r="1466" spans="1:12" ht="15.75" hidden="1" thickBot="1" x14ac:dyDescent="0.3">
      <c r="A1466" s="181"/>
      <c r="B1466" s="179"/>
      <c r="C1466" s="25" t="s">
        <v>920</v>
      </c>
      <c r="D1466" s="25" t="s">
        <v>305</v>
      </c>
      <c r="E1466" s="26">
        <v>1.3332999999999999</v>
      </c>
      <c r="F1466" s="27" t="s">
        <v>945</v>
      </c>
      <c r="G1466" s="19">
        <v>0.67449999999999999</v>
      </c>
      <c r="H1466" s="27" t="s">
        <v>946</v>
      </c>
      <c r="I1466" s="19">
        <f>IF(ISNUMBER(G1466),E1466*G1466,"")</f>
        <v>0.89931084999999988</v>
      </c>
      <c r="J1466" s="24"/>
      <c r="K1466" s="19"/>
      <c r="L1466" s="174">
        <v>0</v>
      </c>
    </row>
    <row r="1467" spans="1:12" ht="15.75" hidden="1" thickBot="1" x14ac:dyDescent="0.3">
      <c r="A1467" s="181"/>
      <c r="B1467" s="179"/>
      <c r="C1467" s="25" t="s">
        <v>921</v>
      </c>
      <c r="D1467" s="25" t="s">
        <v>32</v>
      </c>
      <c r="E1467" s="26">
        <v>2.67</v>
      </c>
      <c r="F1467" s="27" t="s">
        <v>945</v>
      </c>
      <c r="G1467" s="19">
        <v>0.48449999999999999</v>
      </c>
      <c r="H1467" s="27" t="s">
        <v>946</v>
      </c>
      <c r="I1467" s="19">
        <f>IF(ISNUMBER(G1467),E1467*G1467,"")</f>
        <v>1.293615</v>
      </c>
      <c r="J1467" s="24"/>
      <c r="K1467" s="19"/>
      <c r="L1467" s="174">
        <v>0</v>
      </c>
    </row>
    <row r="1468" spans="1:12" ht="15.75" hidden="1" thickBot="1" x14ac:dyDescent="0.3">
      <c r="A1468" s="181"/>
      <c r="B1468" s="179"/>
      <c r="C1468" s="25" t="s">
        <v>922</v>
      </c>
      <c r="D1468" s="25" t="s">
        <v>305</v>
      </c>
      <c r="E1468" s="26">
        <v>0.67</v>
      </c>
      <c r="F1468" s="27" t="s">
        <v>945</v>
      </c>
      <c r="G1468" s="19">
        <v>0.71249999999999991</v>
      </c>
      <c r="H1468" s="27" t="s">
        <v>946</v>
      </c>
      <c r="I1468" s="19">
        <f>IF(ISNUMBER(G1468),E1468*G1468,"")</f>
        <v>0.47737499999999999</v>
      </c>
      <c r="J1468" s="24"/>
      <c r="K1468" s="19"/>
      <c r="L1468" s="174">
        <v>0</v>
      </c>
    </row>
    <row r="1469" spans="1:12" ht="26.25" hidden="1" thickBot="1" x14ac:dyDescent="0.3">
      <c r="A1469" s="181"/>
      <c r="B1469" s="179"/>
      <c r="C1469" s="25" t="s">
        <v>942</v>
      </c>
      <c r="D1469" s="25" t="s">
        <v>184</v>
      </c>
      <c r="E1469" s="26">
        <v>1.05</v>
      </c>
      <c r="F1469" s="27" t="s">
        <v>945</v>
      </c>
      <c r="G1469" s="23">
        <v>0</v>
      </c>
      <c r="H1469" s="27" t="s">
        <v>688</v>
      </c>
      <c r="I1469" s="19">
        <f>IF(ISNUMBER(G1469),E1469*G1469,"")</f>
        <v>0</v>
      </c>
      <c r="J1469" s="24"/>
      <c r="K1469" s="19"/>
      <c r="L1469" s="174">
        <v>0</v>
      </c>
    </row>
    <row r="1470" spans="1:12" ht="15.75" hidden="1" thickBot="1" x14ac:dyDescent="0.3">
      <c r="A1470" s="182"/>
      <c r="B1470" s="183"/>
      <c r="C1470" s="25"/>
      <c r="D1470" s="25"/>
      <c r="E1470" s="26"/>
      <c r="F1470" s="27"/>
      <c r="G1470" s="19" t="s">
        <v>1079</v>
      </c>
      <c r="H1470" s="27"/>
      <c r="I1470" s="19" t="str">
        <f>IF(ISNUMBER(G1470),E1470*G1470,"")</f>
        <v/>
      </c>
      <c r="J1470" s="24"/>
      <c r="K1470" s="19"/>
      <c r="L1470" s="174">
        <v>0</v>
      </c>
    </row>
    <row r="1471" spans="1:12" ht="15.75" hidden="1" thickBot="1" x14ac:dyDescent="0.3">
      <c r="A1471" s="180" t="s">
        <v>949</v>
      </c>
      <c r="B1471" s="178" t="str">
        <f>INDEX(Orçamentária!A:B,MATCH(Composições!A1471,Orçamentária!A:A,0),2)</f>
        <v>Eletrocalha 400x50 mm</v>
      </c>
      <c r="C1471" s="30"/>
      <c r="D1471" s="13" t="str">
        <f>TRIM(INDEX(Orçamentária!C:C,MATCH(Composições!A1471,Orçamentária!A:A,0),1))</f>
        <v>m</v>
      </c>
      <c r="E1471" s="14"/>
      <c r="F1471" s="15" t="s">
        <v>950</v>
      </c>
      <c r="G1471" s="31" t="s">
        <v>1079</v>
      </c>
      <c r="H1471" s="16"/>
      <c r="I1471" s="16" t="str">
        <f>IF(ISNUMBER(G1471),E1471*G1471,"")</f>
        <v/>
      </c>
      <c r="J1471" s="17"/>
      <c r="K1471" s="18"/>
      <c r="L1471" s="174">
        <v>0</v>
      </c>
    </row>
    <row r="1472" spans="1:12" ht="15.75" hidden="1" thickBot="1" x14ac:dyDescent="0.3">
      <c r="A1472" s="181"/>
      <c r="B1472" s="179"/>
      <c r="C1472" s="20"/>
      <c r="D1472" s="20"/>
      <c r="E1472" s="21"/>
      <c r="F1472" s="22"/>
      <c r="G1472" s="32" t="s">
        <v>1079</v>
      </c>
      <c r="H1472" s="20"/>
      <c r="I1472" s="19" t="str">
        <f>IF(ISNUMBER(G1472),E1472*G1472,"")</f>
        <v/>
      </c>
      <c r="J1472" s="24"/>
      <c r="K1472" s="19"/>
      <c r="L1472" s="174">
        <v>0</v>
      </c>
    </row>
    <row r="1473" spans="1:12" ht="15.75" hidden="1" thickBot="1" x14ac:dyDescent="0.3">
      <c r="A1473" s="181"/>
      <c r="B1473" s="179"/>
      <c r="C1473" s="25" t="s">
        <v>54</v>
      </c>
      <c r="D1473" s="25" t="s">
        <v>21</v>
      </c>
      <c r="E1473" s="26">
        <v>0.55000000000000004</v>
      </c>
      <c r="F1473" s="27" t="s">
        <v>3</v>
      </c>
      <c r="G1473" s="19">
        <v>19.313499999999998</v>
      </c>
      <c r="H1473" s="27" t="s">
        <v>55</v>
      </c>
      <c r="I1473" s="19">
        <f>IF(ISNUMBER(G1473),E1473*G1473,"")</f>
        <v>10.622425</v>
      </c>
      <c r="J1473" s="28">
        <f>SUM(I1473:I1484)</f>
        <v>33.394150150000002</v>
      </c>
      <c r="K1473" s="29"/>
      <c r="L1473" s="174">
        <v>0</v>
      </c>
    </row>
    <row r="1474" spans="1:12" ht="15.75" hidden="1" thickBot="1" x14ac:dyDescent="0.3">
      <c r="A1474" s="181"/>
      <c r="B1474" s="179"/>
      <c r="C1474" s="25" t="s">
        <v>144</v>
      </c>
      <c r="D1474" s="36" t="s">
        <v>21</v>
      </c>
      <c r="E1474" s="26">
        <v>0.55000000000000004</v>
      </c>
      <c r="F1474" s="27" t="s">
        <v>3</v>
      </c>
      <c r="G1474" s="19">
        <v>15.218999999999999</v>
      </c>
      <c r="H1474" s="27" t="s">
        <v>145</v>
      </c>
      <c r="I1474" s="19">
        <f>IF(ISNUMBER(G1474),E1474*G1474,"")</f>
        <v>8.3704499999999999</v>
      </c>
      <c r="J1474" s="24"/>
      <c r="K1474" s="19"/>
      <c r="L1474" s="174">
        <v>0</v>
      </c>
    </row>
    <row r="1475" spans="1:12" ht="26.25" hidden="1" thickBot="1" x14ac:dyDescent="0.3">
      <c r="A1475" s="181"/>
      <c r="B1475" s="179"/>
      <c r="C1475" s="25" t="s">
        <v>912</v>
      </c>
      <c r="D1475" s="25" t="s">
        <v>305</v>
      </c>
      <c r="E1475" s="26">
        <v>1.3332999999999999</v>
      </c>
      <c r="F1475" s="27" t="s">
        <v>3</v>
      </c>
      <c r="G1475" s="19">
        <v>4.1989999999999998</v>
      </c>
      <c r="H1475" s="27" t="s">
        <v>951</v>
      </c>
      <c r="I1475" s="19">
        <f>IF(ISNUMBER(G1475),E1475*G1475,"")</f>
        <v>5.5985266999999999</v>
      </c>
      <c r="J1475" s="56"/>
      <c r="K1475" s="1"/>
      <c r="L1475" s="174">
        <v>0</v>
      </c>
    </row>
    <row r="1476" spans="1:12" ht="26.25" hidden="1" thickBot="1" x14ac:dyDescent="0.3">
      <c r="A1476" s="181"/>
      <c r="B1476" s="179"/>
      <c r="C1476" s="25" t="s">
        <v>952</v>
      </c>
      <c r="D1476" s="25" t="s">
        <v>184</v>
      </c>
      <c r="E1476" s="26">
        <v>1.05</v>
      </c>
      <c r="F1476" s="27" t="s">
        <v>3</v>
      </c>
      <c r="G1476" s="23" t="s">
        <v>1079</v>
      </c>
      <c r="H1476" s="27" t="s">
        <v>688</v>
      </c>
      <c r="I1476" s="19" t="str">
        <f>IF(ISNUMBER(G1476),E1476*G1476,"")</f>
        <v/>
      </c>
      <c r="J1476" s="24"/>
      <c r="K1476" s="19"/>
      <c r="L1476" s="174">
        <v>0</v>
      </c>
    </row>
    <row r="1477" spans="1:12" ht="15.75" hidden="1" thickBot="1" x14ac:dyDescent="0.3">
      <c r="A1477" s="181"/>
      <c r="B1477" s="179"/>
      <c r="C1477" s="25" t="s">
        <v>915</v>
      </c>
      <c r="D1477" s="25" t="s">
        <v>184</v>
      </c>
      <c r="E1477" s="26">
        <v>1.6</v>
      </c>
      <c r="F1477" s="27" t="s">
        <v>3</v>
      </c>
      <c r="G1477" s="19">
        <v>2.5649999999999999</v>
      </c>
      <c r="H1477" s="27" t="s">
        <v>951</v>
      </c>
      <c r="I1477" s="19">
        <f>IF(ISNUMBER(G1477),E1477*G1477,"")</f>
        <v>4.1040000000000001</v>
      </c>
      <c r="J1477" s="24"/>
      <c r="K1477" s="19"/>
      <c r="L1477" s="174">
        <v>0</v>
      </c>
    </row>
    <row r="1478" spans="1:12" ht="15.75" hidden="1" thickBot="1" x14ac:dyDescent="0.3">
      <c r="A1478" s="181"/>
      <c r="B1478" s="179"/>
      <c r="C1478" s="25" t="s">
        <v>916</v>
      </c>
      <c r="D1478" s="25" t="s">
        <v>588</v>
      </c>
      <c r="E1478" s="26">
        <v>5.3367000000000004</v>
      </c>
      <c r="F1478" s="27" t="s">
        <v>0</v>
      </c>
      <c r="G1478" s="23">
        <v>0.22799999999999998</v>
      </c>
      <c r="H1478" s="27" t="s">
        <v>917</v>
      </c>
      <c r="I1478" s="19">
        <f>IF(ISNUMBER(G1478),E1478*G1478,"")</f>
        <v>1.2167676000000001</v>
      </c>
      <c r="J1478" s="24"/>
      <c r="K1478" s="19"/>
      <c r="L1478" s="174">
        <v>0</v>
      </c>
    </row>
    <row r="1479" spans="1:12" ht="15.75" hidden="1" thickBot="1" x14ac:dyDescent="0.3">
      <c r="A1479" s="181"/>
      <c r="B1479" s="179"/>
      <c r="C1479" s="25" t="s">
        <v>918</v>
      </c>
      <c r="D1479" s="25" t="s">
        <v>305</v>
      </c>
      <c r="E1479" s="26">
        <v>5.34</v>
      </c>
      <c r="F1479" s="27" t="s">
        <v>3</v>
      </c>
      <c r="G1479" s="19">
        <v>0.152</v>
      </c>
      <c r="H1479" s="27" t="s">
        <v>951</v>
      </c>
      <c r="I1479" s="19">
        <f>IF(ISNUMBER(G1479),E1479*G1479,"")</f>
        <v>0.81167999999999996</v>
      </c>
      <c r="J1479" s="24"/>
      <c r="K1479" s="19"/>
      <c r="L1479" s="174">
        <v>0</v>
      </c>
    </row>
    <row r="1480" spans="1:12" ht="15.75" hidden="1" thickBot="1" x14ac:dyDescent="0.3">
      <c r="A1480" s="181"/>
      <c r="B1480" s="179"/>
      <c r="C1480" s="25" t="s">
        <v>953</v>
      </c>
      <c r="D1480" s="25" t="s">
        <v>305</v>
      </c>
      <c r="E1480" s="26">
        <v>0.67</v>
      </c>
      <c r="F1480" s="27" t="s">
        <v>3</v>
      </c>
      <c r="G1480" s="19">
        <v>0</v>
      </c>
      <c r="H1480" s="27" t="s">
        <v>951</v>
      </c>
      <c r="I1480" s="19">
        <f>IF(ISNUMBER(G1480),E1480*G1480,"")</f>
        <v>0</v>
      </c>
      <c r="J1480" s="24"/>
      <c r="K1480" s="19"/>
      <c r="L1480" s="174">
        <v>0</v>
      </c>
    </row>
    <row r="1481" spans="1:12" ht="15.75" hidden="1" thickBot="1" x14ac:dyDescent="0.3">
      <c r="A1481" s="181"/>
      <c r="B1481" s="179"/>
      <c r="C1481" s="25" t="s">
        <v>920</v>
      </c>
      <c r="D1481" s="25" t="s">
        <v>305</v>
      </c>
      <c r="E1481" s="26">
        <v>1.3332999999999999</v>
      </c>
      <c r="F1481" s="27" t="s">
        <v>3</v>
      </c>
      <c r="G1481" s="19">
        <v>0.67449999999999999</v>
      </c>
      <c r="H1481" s="27" t="s">
        <v>951</v>
      </c>
      <c r="I1481" s="19">
        <f>IF(ISNUMBER(G1481),E1481*G1481,"")</f>
        <v>0.89931084999999988</v>
      </c>
      <c r="J1481" s="24"/>
      <c r="K1481" s="19"/>
      <c r="L1481" s="174">
        <v>0</v>
      </c>
    </row>
    <row r="1482" spans="1:12" ht="15.75" hidden="1" thickBot="1" x14ac:dyDescent="0.3">
      <c r="A1482" s="181"/>
      <c r="B1482" s="179"/>
      <c r="C1482" s="25" t="s">
        <v>921</v>
      </c>
      <c r="D1482" s="25" t="s">
        <v>32</v>
      </c>
      <c r="E1482" s="26">
        <v>2.67</v>
      </c>
      <c r="F1482" s="27" t="s">
        <v>3</v>
      </c>
      <c r="G1482" s="19">
        <v>0.48449999999999999</v>
      </c>
      <c r="H1482" s="27" t="s">
        <v>951</v>
      </c>
      <c r="I1482" s="19">
        <f>IF(ISNUMBER(G1482),E1482*G1482,"")</f>
        <v>1.293615</v>
      </c>
      <c r="J1482" s="24"/>
      <c r="K1482" s="19"/>
      <c r="L1482" s="174">
        <v>0</v>
      </c>
    </row>
    <row r="1483" spans="1:12" ht="15.75" hidden="1" thickBot="1" x14ac:dyDescent="0.3">
      <c r="A1483" s="181"/>
      <c r="B1483" s="179"/>
      <c r="C1483" s="25" t="s">
        <v>922</v>
      </c>
      <c r="D1483" s="25" t="s">
        <v>305</v>
      </c>
      <c r="E1483" s="26">
        <v>0.67</v>
      </c>
      <c r="F1483" s="27" t="s">
        <v>3</v>
      </c>
      <c r="G1483" s="19">
        <v>0.71249999999999991</v>
      </c>
      <c r="H1483" s="27" t="s">
        <v>951</v>
      </c>
      <c r="I1483" s="19">
        <f>IF(ISNUMBER(G1483),E1483*G1483,"")</f>
        <v>0.47737499999999999</v>
      </c>
      <c r="J1483" s="24"/>
      <c r="K1483" s="19"/>
      <c r="L1483" s="174">
        <v>0</v>
      </c>
    </row>
    <row r="1484" spans="1:12" ht="26.25" hidden="1" thickBot="1" x14ac:dyDescent="0.3">
      <c r="A1484" s="181"/>
      <c r="B1484" s="179"/>
      <c r="C1484" s="25" t="s">
        <v>954</v>
      </c>
      <c r="D1484" s="25" t="s">
        <v>184</v>
      </c>
      <c r="E1484" s="26">
        <v>1.05</v>
      </c>
      <c r="F1484" s="27" t="s">
        <v>3</v>
      </c>
      <c r="G1484" s="23">
        <v>0</v>
      </c>
      <c r="H1484" s="27" t="s">
        <v>688</v>
      </c>
      <c r="I1484" s="19">
        <f>IF(ISNUMBER(G1484),E1484*G1484,"")</f>
        <v>0</v>
      </c>
      <c r="J1484" s="24"/>
      <c r="K1484" s="19"/>
      <c r="L1484" s="174">
        <v>0</v>
      </c>
    </row>
    <row r="1485" spans="1:12" ht="15.75" hidden="1" thickBot="1" x14ac:dyDescent="0.3">
      <c r="A1485" s="182"/>
      <c r="B1485" s="183"/>
      <c r="C1485" s="25"/>
      <c r="D1485" s="25"/>
      <c r="E1485" s="26"/>
      <c r="F1485" s="27"/>
      <c r="G1485" s="19" t="s">
        <v>1079</v>
      </c>
      <c r="H1485" s="27"/>
      <c r="I1485" s="19" t="str">
        <f>IF(ISNUMBER(G1485),E1485*G1485,"")</f>
        <v/>
      </c>
      <c r="J1485" s="24"/>
      <c r="K1485" s="19"/>
      <c r="L1485" s="174">
        <v>0</v>
      </c>
    </row>
    <row r="1486" spans="1:12" ht="15.75" hidden="1" thickBot="1" x14ac:dyDescent="0.3">
      <c r="A1486" s="180" t="s">
        <v>955</v>
      </c>
      <c r="B1486" s="178" t="str">
        <f>INDEX(Orçamentária!A:B,MATCH(Composições!A1486,Orçamentária!A:A,0),2)</f>
        <v>Eletrocalha 50x50 mm</v>
      </c>
      <c r="C1486" s="30"/>
      <c r="D1486" s="13" t="str">
        <f>TRIM(INDEX(Orçamentária!C:C,MATCH(Composições!A1486,Orçamentária!A:A,0),1))</f>
        <v>m</v>
      </c>
      <c r="E1486" s="14"/>
      <c r="F1486" s="15" t="s">
        <v>956</v>
      </c>
      <c r="G1486" s="31" t="s">
        <v>1079</v>
      </c>
      <c r="H1486" s="16"/>
      <c r="I1486" s="16" t="str">
        <f>IF(ISNUMBER(G1486),E1486*G1486,"")</f>
        <v/>
      </c>
      <c r="J1486" s="17"/>
      <c r="K1486" s="18"/>
      <c r="L1486" s="174">
        <v>0</v>
      </c>
    </row>
    <row r="1487" spans="1:12" ht="15.75" hidden="1" thickBot="1" x14ac:dyDescent="0.3">
      <c r="A1487" s="186"/>
      <c r="B1487" s="179"/>
      <c r="C1487" s="20"/>
      <c r="D1487" s="20"/>
      <c r="E1487" s="21"/>
      <c r="F1487" s="22"/>
      <c r="G1487" s="32" t="s">
        <v>1079</v>
      </c>
      <c r="H1487" s="20"/>
      <c r="I1487" s="19" t="str">
        <f>IF(ISNUMBER(G1487),E1487*G1487,"")</f>
        <v/>
      </c>
      <c r="J1487" s="24"/>
      <c r="K1487" s="19"/>
      <c r="L1487" s="174">
        <v>0</v>
      </c>
    </row>
    <row r="1488" spans="1:12" ht="15.75" hidden="1" thickBot="1" x14ac:dyDescent="0.3">
      <c r="A1488" s="186"/>
      <c r="B1488" s="179"/>
      <c r="C1488" s="25" t="s">
        <v>54</v>
      </c>
      <c r="D1488" s="25" t="s">
        <v>21</v>
      </c>
      <c r="E1488" s="26">
        <v>0.45</v>
      </c>
      <c r="F1488" s="27" t="s">
        <v>4</v>
      </c>
      <c r="G1488" s="19">
        <v>19.313499999999998</v>
      </c>
      <c r="H1488" s="27" t="s">
        <v>55</v>
      </c>
      <c r="I1488" s="19">
        <f>IF(ISNUMBER(G1488),E1488*G1488,"")</f>
        <v>8.6910749999999997</v>
      </c>
      <c r="J1488" s="28">
        <f>SUM(I1488:I1499)</f>
        <v>24.403072749999993</v>
      </c>
      <c r="K1488" s="29"/>
      <c r="L1488" s="174">
        <v>0</v>
      </c>
    </row>
    <row r="1489" spans="1:12" ht="15.75" hidden="1" thickBot="1" x14ac:dyDescent="0.3">
      <c r="A1489" s="186"/>
      <c r="B1489" s="179"/>
      <c r="C1489" s="25" t="s">
        <v>144</v>
      </c>
      <c r="D1489" s="36" t="s">
        <v>21</v>
      </c>
      <c r="E1489" s="26">
        <v>0.45</v>
      </c>
      <c r="F1489" s="27" t="s">
        <v>4</v>
      </c>
      <c r="G1489" s="19">
        <v>15.218999999999999</v>
      </c>
      <c r="H1489" s="27" t="s">
        <v>145</v>
      </c>
      <c r="I1489" s="19">
        <f>IF(ISNUMBER(G1489),E1489*G1489,"")</f>
        <v>6.8485499999999995</v>
      </c>
      <c r="J1489" s="24"/>
      <c r="K1489" s="19"/>
      <c r="L1489" s="174">
        <v>0</v>
      </c>
    </row>
    <row r="1490" spans="1:12" ht="26.25" hidden="1" thickBot="1" x14ac:dyDescent="0.3">
      <c r="A1490" s="186"/>
      <c r="B1490" s="179"/>
      <c r="C1490" s="25" t="s">
        <v>912</v>
      </c>
      <c r="D1490" s="25" t="s">
        <v>305</v>
      </c>
      <c r="E1490" s="26">
        <v>0.67</v>
      </c>
      <c r="F1490" s="27" t="s">
        <v>4</v>
      </c>
      <c r="G1490" s="19">
        <v>4.1989999999999998</v>
      </c>
      <c r="H1490" s="27" t="s">
        <v>957</v>
      </c>
      <c r="I1490" s="19">
        <f>IF(ISNUMBER(G1490),E1490*G1490,"")</f>
        <v>2.8133300000000001</v>
      </c>
      <c r="J1490" s="56"/>
      <c r="K1490" s="1"/>
      <c r="L1490" s="174">
        <v>0</v>
      </c>
    </row>
    <row r="1491" spans="1:12" ht="26.25" hidden="1" thickBot="1" x14ac:dyDescent="0.3">
      <c r="A1491" s="186"/>
      <c r="B1491" s="179"/>
      <c r="C1491" s="25" t="s">
        <v>958</v>
      </c>
      <c r="D1491" s="25" t="s">
        <v>184</v>
      </c>
      <c r="E1491" s="26">
        <v>1.05</v>
      </c>
      <c r="F1491" s="27" t="s">
        <v>4</v>
      </c>
      <c r="G1491" s="23" t="s">
        <v>1079</v>
      </c>
      <c r="H1491" s="27" t="s">
        <v>688</v>
      </c>
      <c r="I1491" s="19" t="str">
        <f>IF(ISNUMBER(G1491),E1491*G1491,"")</f>
        <v/>
      </c>
      <c r="J1491" s="24"/>
      <c r="K1491" s="19"/>
      <c r="L1491" s="174">
        <v>0</v>
      </c>
    </row>
    <row r="1492" spans="1:12" ht="15.75" hidden="1" thickBot="1" x14ac:dyDescent="0.3">
      <c r="A1492" s="186"/>
      <c r="B1492" s="179"/>
      <c r="C1492" s="25" t="s">
        <v>915</v>
      </c>
      <c r="D1492" s="25" t="s">
        <v>184</v>
      </c>
      <c r="E1492" s="26">
        <v>0.8</v>
      </c>
      <c r="F1492" s="27" t="s">
        <v>4</v>
      </c>
      <c r="G1492" s="19">
        <v>2.5649999999999999</v>
      </c>
      <c r="H1492" s="27" t="s">
        <v>957</v>
      </c>
      <c r="I1492" s="19">
        <f>IF(ISNUMBER(G1492),E1492*G1492,"")</f>
        <v>2.052</v>
      </c>
      <c r="J1492" s="24"/>
      <c r="K1492" s="19"/>
      <c r="L1492" s="174">
        <v>0</v>
      </c>
    </row>
    <row r="1493" spans="1:12" ht="15.75" hidden="1" thickBot="1" x14ac:dyDescent="0.3">
      <c r="A1493" s="186"/>
      <c r="B1493" s="179"/>
      <c r="C1493" s="25" t="s">
        <v>916</v>
      </c>
      <c r="D1493" s="25" t="s">
        <v>588</v>
      </c>
      <c r="E1493" s="26">
        <v>4.0033000000000003</v>
      </c>
      <c r="F1493" s="27" t="s">
        <v>4</v>
      </c>
      <c r="G1493" s="23">
        <v>0.22799999999999998</v>
      </c>
      <c r="H1493" s="27" t="s">
        <v>917</v>
      </c>
      <c r="I1493" s="19">
        <f>IF(ISNUMBER(G1493),E1493*G1493,"")</f>
        <v>0.91275240000000002</v>
      </c>
      <c r="J1493" s="24"/>
      <c r="K1493" s="19"/>
      <c r="L1493" s="174">
        <v>0</v>
      </c>
    </row>
    <row r="1494" spans="1:12" ht="15.75" hidden="1" thickBot="1" x14ac:dyDescent="0.3">
      <c r="A1494" s="186"/>
      <c r="B1494" s="179"/>
      <c r="C1494" s="25" t="s">
        <v>918</v>
      </c>
      <c r="D1494" s="25" t="s">
        <v>305</v>
      </c>
      <c r="E1494" s="26">
        <v>4.0033000000000003</v>
      </c>
      <c r="F1494" s="27" t="s">
        <v>4</v>
      </c>
      <c r="G1494" s="19">
        <v>0.152</v>
      </c>
      <c r="H1494" s="27" t="s">
        <v>957</v>
      </c>
      <c r="I1494" s="19">
        <f>IF(ISNUMBER(G1494),E1494*G1494,"")</f>
        <v>0.60850159999999998</v>
      </c>
      <c r="J1494" s="24"/>
      <c r="K1494" s="19"/>
      <c r="L1494" s="174">
        <v>0</v>
      </c>
    </row>
    <row r="1495" spans="1:12" ht="15.75" hidden="1" thickBot="1" x14ac:dyDescent="0.3">
      <c r="A1495" s="186"/>
      <c r="B1495" s="179"/>
      <c r="C1495" s="25" t="s">
        <v>959</v>
      </c>
      <c r="D1495" s="25" t="s">
        <v>305</v>
      </c>
      <c r="E1495" s="26">
        <v>0.67</v>
      </c>
      <c r="F1495" s="27" t="s">
        <v>4</v>
      </c>
      <c r="G1495" s="19">
        <v>0</v>
      </c>
      <c r="H1495" s="27" t="s">
        <v>957</v>
      </c>
      <c r="I1495" s="19">
        <f>IF(ISNUMBER(G1495),E1495*G1495,"")</f>
        <v>0</v>
      </c>
      <c r="J1495" s="24"/>
      <c r="K1495" s="19"/>
      <c r="L1495" s="174">
        <v>0</v>
      </c>
    </row>
    <row r="1496" spans="1:12" ht="15.75" hidden="1" thickBot="1" x14ac:dyDescent="0.3">
      <c r="A1496" s="186"/>
      <c r="B1496" s="179"/>
      <c r="C1496" s="25" t="s">
        <v>920</v>
      </c>
      <c r="D1496" s="25" t="s">
        <v>305</v>
      </c>
      <c r="E1496" s="26">
        <v>1.05</v>
      </c>
      <c r="F1496" s="27" t="s">
        <v>4</v>
      </c>
      <c r="G1496" s="19">
        <v>0.67449999999999999</v>
      </c>
      <c r="H1496" s="27" t="s">
        <v>957</v>
      </c>
      <c r="I1496" s="19">
        <f>IF(ISNUMBER(G1496),E1496*G1496,"")</f>
        <v>0.70822499999999999</v>
      </c>
      <c r="J1496" s="24"/>
      <c r="K1496" s="19"/>
      <c r="L1496" s="174">
        <v>0</v>
      </c>
    </row>
    <row r="1497" spans="1:12" ht="15.75" hidden="1" thickBot="1" x14ac:dyDescent="0.3">
      <c r="A1497" s="186"/>
      <c r="B1497" s="179"/>
      <c r="C1497" s="25" t="s">
        <v>921</v>
      </c>
      <c r="D1497" s="25" t="s">
        <v>32</v>
      </c>
      <c r="E1497" s="26">
        <v>2.67</v>
      </c>
      <c r="F1497" s="27" t="s">
        <v>4</v>
      </c>
      <c r="G1497" s="19">
        <v>0.48449999999999999</v>
      </c>
      <c r="H1497" s="27" t="s">
        <v>957</v>
      </c>
      <c r="I1497" s="19">
        <f>IF(ISNUMBER(G1497),E1497*G1497,"")</f>
        <v>1.293615</v>
      </c>
      <c r="J1497" s="24"/>
      <c r="K1497" s="19"/>
      <c r="L1497" s="174">
        <v>0</v>
      </c>
    </row>
    <row r="1498" spans="1:12" ht="15.75" hidden="1" thickBot="1" x14ac:dyDescent="0.3">
      <c r="A1498" s="186"/>
      <c r="B1498" s="179"/>
      <c r="C1498" s="25" t="s">
        <v>922</v>
      </c>
      <c r="D1498" s="25" t="s">
        <v>305</v>
      </c>
      <c r="E1498" s="26">
        <v>0.66669999999999996</v>
      </c>
      <c r="F1498" s="27" t="s">
        <v>4</v>
      </c>
      <c r="G1498" s="19">
        <v>0.71249999999999991</v>
      </c>
      <c r="H1498" s="27" t="s">
        <v>957</v>
      </c>
      <c r="I1498" s="19">
        <f>IF(ISNUMBER(G1498),E1498*G1498,"")</f>
        <v>0.47502374999999991</v>
      </c>
      <c r="J1498" s="24"/>
      <c r="K1498" s="19"/>
      <c r="L1498" s="174">
        <v>0</v>
      </c>
    </row>
    <row r="1499" spans="1:12" ht="26.25" hidden="1" thickBot="1" x14ac:dyDescent="0.3">
      <c r="A1499" s="186"/>
      <c r="B1499" s="179"/>
      <c r="C1499" s="25" t="s">
        <v>960</v>
      </c>
      <c r="D1499" s="25" t="s">
        <v>184</v>
      </c>
      <c r="E1499" s="26">
        <v>1.05</v>
      </c>
      <c r="F1499" s="27" t="s">
        <v>4</v>
      </c>
      <c r="G1499" s="23">
        <v>0</v>
      </c>
      <c r="H1499" s="27" t="s">
        <v>688</v>
      </c>
      <c r="I1499" s="19">
        <f>IF(ISNUMBER(G1499),E1499*G1499,"")</f>
        <v>0</v>
      </c>
      <c r="J1499" s="24"/>
      <c r="K1499" s="19"/>
      <c r="L1499" s="174">
        <v>0</v>
      </c>
    </row>
    <row r="1500" spans="1:12" ht="15.75" hidden="1" thickBot="1" x14ac:dyDescent="0.3">
      <c r="A1500" s="187"/>
      <c r="B1500" s="183"/>
      <c r="C1500" s="25"/>
      <c r="D1500" s="25"/>
      <c r="E1500" s="26"/>
      <c r="F1500" s="27"/>
      <c r="G1500" s="19" t="s">
        <v>1079</v>
      </c>
      <c r="H1500" s="27"/>
      <c r="I1500" s="19" t="str">
        <f>IF(ISNUMBER(G1500),E1500*G1500,"")</f>
        <v/>
      </c>
      <c r="J1500" s="24"/>
      <c r="K1500" s="19"/>
      <c r="L1500" s="174">
        <v>0</v>
      </c>
    </row>
    <row r="1501" spans="1:12" ht="15.75" thickBot="1" x14ac:dyDescent="0.3">
      <c r="A1501" s="288" t="s">
        <v>961</v>
      </c>
      <c r="B1501" s="289" t="str">
        <f>INDEX(Orçamentária!A:B,MATCH(Composições!A1501,Orçamentária!A:A,0),2)</f>
        <v>Eletroduto de aço galvanizado de 1 1/2"</v>
      </c>
      <c r="C1501" s="274"/>
      <c r="D1501" s="265" t="str">
        <f>TRIM(INDEX(Orçamentária!C:C,MATCH(Composições!A1501,Orçamentária!A:A,0),1))</f>
        <v>m</v>
      </c>
      <c r="E1501" s="290"/>
      <c r="F1501" s="259" t="s">
        <v>962</v>
      </c>
      <c r="G1501" s="260" t="s">
        <v>1079</v>
      </c>
      <c r="H1501" s="261"/>
      <c r="I1501" s="261" t="str">
        <f>IF(ISNUMBER(G1501),E1501*G1501,"")</f>
        <v/>
      </c>
      <c r="J1501" s="280"/>
      <c r="K1501" s="18"/>
      <c r="L1501" s="174">
        <v>4.9000000000000004</v>
      </c>
    </row>
    <row r="1502" spans="1:12" x14ac:dyDescent="0.25">
      <c r="A1502" s="291"/>
      <c r="B1502" s="292"/>
      <c r="C1502" s="155"/>
      <c r="D1502" s="155"/>
      <c r="E1502" s="293"/>
      <c r="F1502" s="294"/>
      <c r="G1502" s="262" t="s">
        <v>1079</v>
      </c>
      <c r="H1502" s="155"/>
      <c r="I1502" s="257" t="str">
        <f>IF(ISNUMBER(G1502),E1502*G1502,"")</f>
        <v/>
      </c>
      <c r="J1502" s="281"/>
      <c r="K1502" s="19"/>
      <c r="L1502" s="174">
        <v>4.9000000000000004</v>
      </c>
    </row>
    <row r="1503" spans="1:12" x14ac:dyDescent="0.25">
      <c r="A1503" s="291"/>
      <c r="B1503" s="292"/>
      <c r="C1503" s="105" t="s">
        <v>963</v>
      </c>
      <c r="D1503" s="105" t="s">
        <v>184</v>
      </c>
      <c r="E1503" s="250">
        <v>1.05</v>
      </c>
      <c r="F1503" s="176" t="s">
        <v>964</v>
      </c>
      <c r="G1503" s="257">
        <v>14.658499999999998</v>
      </c>
      <c r="H1503" s="176" t="s">
        <v>965</v>
      </c>
      <c r="I1503" s="258">
        <f>IF(ISNUMBER(G1503),E1503*G1503,"")</f>
        <v>15.391424999999998</v>
      </c>
      <c r="J1503" s="295">
        <f>SUM(I1503:I1507)</f>
        <v>31.942178814475</v>
      </c>
      <c r="K1503" s="29"/>
      <c r="L1503" s="174">
        <v>4.9000000000000004</v>
      </c>
    </row>
    <row r="1504" spans="1:12" x14ac:dyDescent="0.25">
      <c r="A1504" s="291"/>
      <c r="B1504" s="292"/>
      <c r="C1504" s="105" t="s">
        <v>54</v>
      </c>
      <c r="D1504" s="105" t="s">
        <v>21</v>
      </c>
      <c r="E1504" s="250">
        <v>0.28210000000000002</v>
      </c>
      <c r="F1504" s="176" t="s">
        <v>964</v>
      </c>
      <c r="G1504" s="257">
        <v>19.313499999999998</v>
      </c>
      <c r="H1504" s="176" t="s">
        <v>55</v>
      </c>
      <c r="I1504" s="258">
        <f>IF(ISNUMBER(G1504),E1504*G1504,"")</f>
        <v>5.4483383499999993</v>
      </c>
      <c r="J1504" s="281"/>
      <c r="K1504" s="19"/>
      <c r="L1504" s="174">
        <v>4.9000000000000004</v>
      </c>
    </row>
    <row r="1505" spans="1:12" x14ac:dyDescent="0.25">
      <c r="A1505" s="291"/>
      <c r="B1505" s="292"/>
      <c r="C1505" s="105" t="s">
        <v>144</v>
      </c>
      <c r="D1505" s="105" t="s">
        <v>21</v>
      </c>
      <c r="E1505" s="250">
        <v>0.28210000000000002</v>
      </c>
      <c r="F1505" s="176" t="s">
        <v>964</v>
      </c>
      <c r="G1505" s="257">
        <v>15.218999999999999</v>
      </c>
      <c r="H1505" s="176" t="s">
        <v>145</v>
      </c>
      <c r="I1505" s="258">
        <f>IF(ISNUMBER(G1505),E1505*G1505,"")</f>
        <v>4.2932798999999999</v>
      </c>
      <c r="J1505" s="281"/>
      <c r="K1505" s="19"/>
      <c r="L1505" s="174">
        <v>4.9000000000000004</v>
      </c>
    </row>
    <row r="1506" spans="1:12" ht="38.25" x14ac:dyDescent="0.25">
      <c r="A1506" s="291"/>
      <c r="B1506" s="292"/>
      <c r="C1506" s="105" t="s">
        <v>966</v>
      </c>
      <c r="D1506" s="105" t="s">
        <v>184</v>
      </c>
      <c r="E1506" s="250">
        <v>2</v>
      </c>
      <c r="F1506" s="176" t="s">
        <v>964</v>
      </c>
      <c r="G1506" s="258">
        <v>1.0747065000000002</v>
      </c>
      <c r="H1506" s="176" t="s">
        <v>967</v>
      </c>
      <c r="I1506" s="258">
        <f>IF(ISNUMBER(G1506),E1506*G1506,"")</f>
        <v>2.1494130000000005</v>
      </c>
      <c r="J1506" s="281"/>
      <c r="K1506" s="19"/>
      <c r="L1506" s="174">
        <v>4.9000000000000004</v>
      </c>
    </row>
    <row r="1507" spans="1:12" ht="25.5" x14ac:dyDescent="0.25">
      <c r="A1507" s="291"/>
      <c r="B1507" s="292"/>
      <c r="C1507" s="105" t="s">
        <v>968</v>
      </c>
      <c r="D1507" s="105" t="s">
        <v>588</v>
      </c>
      <c r="E1507" s="250">
        <v>0.33329999999999999</v>
      </c>
      <c r="F1507" s="176" t="s">
        <v>964</v>
      </c>
      <c r="G1507" s="258">
        <v>13.980565749999998</v>
      </c>
      <c r="H1507" s="176" t="s">
        <v>969</v>
      </c>
      <c r="I1507" s="258">
        <f>IF(ISNUMBER(G1507),E1507*G1507,"")</f>
        <v>4.6597225644749996</v>
      </c>
      <c r="J1507" s="281"/>
      <c r="K1507" s="19"/>
      <c r="L1507" s="174">
        <v>4.9000000000000004</v>
      </c>
    </row>
    <row r="1508" spans="1:12" ht="15.75" thickBot="1" x14ac:dyDescent="0.3">
      <c r="A1508" s="296"/>
      <c r="B1508" s="297"/>
      <c r="C1508" s="105"/>
      <c r="D1508" s="105"/>
      <c r="E1508" s="250"/>
      <c r="F1508" s="176"/>
      <c r="G1508" s="257" t="s">
        <v>1079</v>
      </c>
      <c r="H1508" s="176"/>
      <c r="I1508" s="257" t="str">
        <f>IF(ISNUMBER(G1508),E1508*G1508,"")</f>
        <v/>
      </c>
      <c r="J1508" s="281"/>
      <c r="K1508" s="19"/>
      <c r="L1508" s="174">
        <v>4.9000000000000004</v>
      </c>
    </row>
    <row r="1509" spans="1:12" ht="15.75" hidden="1" thickBot="1" x14ac:dyDescent="0.3">
      <c r="A1509" s="180" t="s">
        <v>970</v>
      </c>
      <c r="B1509" s="178" t="str">
        <f>INDEX(Orçamentária!A:B,MATCH(Composições!A1509,Orçamentária!A:A,0),2)</f>
        <v>Eletroduto de aço galvanizado de 1 1/4"</v>
      </c>
      <c r="C1509" s="30"/>
      <c r="D1509" s="13" t="str">
        <f>TRIM(INDEX(Orçamentária!C:C,MATCH(Composições!A1509,Orçamentária!A:A,0),1))</f>
        <v>m</v>
      </c>
      <c r="E1509" s="14"/>
      <c r="F1509" s="15" t="s">
        <v>971</v>
      </c>
      <c r="G1509" s="31" t="s">
        <v>1079</v>
      </c>
      <c r="H1509" s="16"/>
      <c r="I1509" s="16" t="str">
        <f>IF(ISNUMBER(G1509),E1509*G1509,"")</f>
        <v/>
      </c>
      <c r="J1509" s="17"/>
      <c r="K1509" s="18"/>
      <c r="L1509" s="174">
        <v>0</v>
      </c>
    </row>
    <row r="1510" spans="1:12" ht="15.75" hidden="1" thickBot="1" x14ac:dyDescent="0.3">
      <c r="A1510" s="181"/>
      <c r="B1510" s="179"/>
      <c r="C1510" s="20"/>
      <c r="D1510" s="20"/>
      <c r="E1510" s="21"/>
      <c r="F1510" s="22"/>
      <c r="G1510" s="32" t="s">
        <v>1079</v>
      </c>
      <c r="H1510" s="20"/>
      <c r="I1510" s="19" t="str">
        <f>IF(ISNUMBER(G1510),E1510*G1510,"")</f>
        <v/>
      </c>
      <c r="J1510" s="24"/>
      <c r="K1510" s="19"/>
      <c r="L1510" s="174">
        <v>0</v>
      </c>
    </row>
    <row r="1511" spans="1:12" ht="15.75" hidden="1" thickBot="1" x14ac:dyDescent="0.3">
      <c r="A1511" s="181"/>
      <c r="B1511" s="179"/>
      <c r="C1511" s="25" t="s">
        <v>972</v>
      </c>
      <c r="D1511" s="25" t="s">
        <v>184</v>
      </c>
      <c r="E1511" s="26">
        <v>1.05</v>
      </c>
      <c r="F1511" s="27" t="s">
        <v>973</v>
      </c>
      <c r="G1511" s="19">
        <v>0</v>
      </c>
      <c r="H1511" s="27" t="s">
        <v>974</v>
      </c>
      <c r="I1511" s="23">
        <f>IF(ISNUMBER(G1511),E1511*G1511,"")</f>
        <v>0</v>
      </c>
      <c r="J1511" s="28">
        <f>SUM(I1511:I1515)</f>
        <v>14.462877568450001</v>
      </c>
      <c r="K1511" s="29"/>
      <c r="L1511" s="174">
        <v>0</v>
      </c>
    </row>
    <row r="1512" spans="1:12" ht="15.75" hidden="1" thickBot="1" x14ac:dyDescent="0.3">
      <c r="A1512" s="181"/>
      <c r="B1512" s="179"/>
      <c r="C1512" s="25" t="s">
        <v>54</v>
      </c>
      <c r="D1512" s="25" t="s">
        <v>21</v>
      </c>
      <c r="E1512" s="26">
        <v>0.247</v>
      </c>
      <c r="F1512" s="27" t="s">
        <v>973</v>
      </c>
      <c r="G1512" s="19">
        <v>19.313499999999998</v>
      </c>
      <c r="H1512" s="27" t="s">
        <v>55</v>
      </c>
      <c r="I1512" s="23">
        <f>IF(ISNUMBER(G1512),E1512*G1512,"")</f>
        <v>4.7704344999999995</v>
      </c>
      <c r="J1512" s="24"/>
      <c r="K1512" s="19"/>
      <c r="L1512" s="174">
        <v>0</v>
      </c>
    </row>
    <row r="1513" spans="1:12" ht="15.75" hidden="1" thickBot="1" x14ac:dyDescent="0.3">
      <c r="A1513" s="181"/>
      <c r="B1513" s="179"/>
      <c r="C1513" s="25" t="s">
        <v>144</v>
      </c>
      <c r="D1513" s="25" t="s">
        <v>21</v>
      </c>
      <c r="E1513" s="26">
        <v>0.247</v>
      </c>
      <c r="F1513" s="27" t="s">
        <v>973</v>
      </c>
      <c r="G1513" s="19">
        <v>15.218999999999999</v>
      </c>
      <c r="H1513" s="27" t="s">
        <v>145</v>
      </c>
      <c r="I1513" s="23">
        <f>IF(ISNUMBER(G1513),E1513*G1513,"")</f>
        <v>3.759093</v>
      </c>
      <c r="J1513" s="24"/>
      <c r="K1513" s="19"/>
      <c r="L1513" s="174">
        <v>0</v>
      </c>
    </row>
    <row r="1514" spans="1:12" ht="39" hidden="1" thickBot="1" x14ac:dyDescent="0.3">
      <c r="A1514" s="181"/>
      <c r="B1514" s="179"/>
      <c r="C1514" s="25" t="s">
        <v>966</v>
      </c>
      <c r="D1514" s="25" t="s">
        <v>184</v>
      </c>
      <c r="E1514" s="26">
        <v>2</v>
      </c>
      <c r="F1514" s="27" t="s">
        <v>973</v>
      </c>
      <c r="G1514" s="23">
        <v>1.0747065000000002</v>
      </c>
      <c r="H1514" s="27" t="s">
        <v>967</v>
      </c>
      <c r="I1514" s="23">
        <f>IF(ISNUMBER(G1514),E1514*G1514,"")</f>
        <v>2.1494130000000005</v>
      </c>
      <c r="J1514" s="24"/>
      <c r="K1514" s="19"/>
      <c r="L1514" s="174">
        <v>0</v>
      </c>
    </row>
    <row r="1515" spans="1:12" ht="26.25" hidden="1" thickBot="1" x14ac:dyDescent="0.3">
      <c r="A1515" s="181"/>
      <c r="B1515" s="179"/>
      <c r="C1515" s="25" t="s">
        <v>975</v>
      </c>
      <c r="D1515" s="25" t="s">
        <v>588</v>
      </c>
      <c r="E1515" s="26">
        <v>0.33329999999999999</v>
      </c>
      <c r="F1515" s="27" t="s">
        <v>973</v>
      </c>
      <c r="G1515" s="23">
        <v>11.352946499999998</v>
      </c>
      <c r="H1515" s="27" t="s">
        <v>976</v>
      </c>
      <c r="I1515" s="23">
        <f>IF(ISNUMBER(G1515),E1515*G1515,"")</f>
        <v>3.7839370684499993</v>
      </c>
      <c r="J1515" s="24"/>
      <c r="K1515" s="19"/>
      <c r="L1515" s="174">
        <v>0</v>
      </c>
    </row>
    <row r="1516" spans="1:12" ht="15.75" hidden="1" thickBot="1" x14ac:dyDescent="0.3">
      <c r="A1516" s="182"/>
      <c r="B1516" s="183"/>
      <c r="C1516" s="25"/>
      <c r="D1516" s="25"/>
      <c r="E1516" s="26"/>
      <c r="F1516" s="27"/>
      <c r="G1516" s="19" t="s">
        <v>1079</v>
      </c>
      <c r="H1516" s="27"/>
      <c r="I1516" s="19" t="str">
        <f>IF(ISNUMBER(G1516),E1516*G1516,"")</f>
        <v/>
      </c>
      <c r="J1516" s="24"/>
      <c r="K1516" s="19"/>
      <c r="L1516" s="174">
        <v>0</v>
      </c>
    </row>
    <row r="1517" spans="1:12" ht="15.75" thickBot="1" x14ac:dyDescent="0.3">
      <c r="A1517" s="288" t="s">
        <v>977</v>
      </c>
      <c r="B1517" s="289" t="str">
        <f>INDEX(Orçamentária!A:B,MATCH(Composições!A1517,Orçamentária!A:A,0),2)</f>
        <v>Eletroduto de aço galvanizado de 1"</v>
      </c>
      <c r="C1517" s="274"/>
      <c r="D1517" s="265" t="str">
        <f>TRIM(INDEX(Orçamentária!C:C,MATCH(Composições!A1517,Orçamentária!A:A,0),1))</f>
        <v>m</v>
      </c>
      <c r="E1517" s="290"/>
      <c r="F1517" s="259" t="s">
        <v>978</v>
      </c>
      <c r="G1517" s="260" t="s">
        <v>1079</v>
      </c>
      <c r="H1517" s="261"/>
      <c r="I1517" s="261" t="str">
        <f>IF(ISNUMBER(G1517),E1517*G1517,"")</f>
        <v/>
      </c>
      <c r="J1517" s="280"/>
      <c r="K1517" s="18"/>
      <c r="L1517" s="174">
        <v>16.8</v>
      </c>
    </row>
    <row r="1518" spans="1:12" x14ac:dyDescent="0.25">
      <c r="A1518" s="291"/>
      <c r="B1518" s="292"/>
      <c r="C1518" s="155"/>
      <c r="D1518" s="155"/>
      <c r="E1518" s="293"/>
      <c r="F1518" s="294"/>
      <c r="G1518" s="262" t="s">
        <v>1079</v>
      </c>
      <c r="H1518" s="155"/>
      <c r="I1518" s="257" t="str">
        <f>IF(ISNUMBER(G1518),E1518*G1518,"")</f>
        <v/>
      </c>
      <c r="J1518" s="281"/>
      <c r="K1518" s="19"/>
      <c r="L1518" s="174">
        <v>16.8</v>
      </c>
    </row>
    <row r="1519" spans="1:12" x14ac:dyDescent="0.25">
      <c r="A1519" s="291"/>
      <c r="B1519" s="292"/>
      <c r="C1519" s="105" t="s">
        <v>979</v>
      </c>
      <c r="D1519" s="105" t="s">
        <v>184</v>
      </c>
      <c r="E1519" s="250">
        <v>1.05</v>
      </c>
      <c r="F1519" s="176" t="s">
        <v>980</v>
      </c>
      <c r="G1519" s="257">
        <v>7.5049999999999999</v>
      </c>
      <c r="H1519" s="176" t="s">
        <v>981</v>
      </c>
      <c r="I1519" s="258">
        <f>IF(ISNUMBER(G1519),E1519*G1519,"")</f>
        <v>7.8802500000000002</v>
      </c>
      <c r="J1519" s="295">
        <f>SUM(I1519:I1523)</f>
        <v>20.465898451424998</v>
      </c>
      <c r="K1519" s="29"/>
      <c r="L1519" s="174">
        <v>16.8</v>
      </c>
    </row>
    <row r="1520" spans="1:12" x14ac:dyDescent="0.25">
      <c r="A1520" s="291"/>
      <c r="B1520" s="292"/>
      <c r="C1520" s="105" t="s">
        <v>54</v>
      </c>
      <c r="D1520" s="105" t="s">
        <v>21</v>
      </c>
      <c r="E1520" s="250">
        <v>0.21629999999999999</v>
      </c>
      <c r="F1520" s="176" t="s">
        <v>980</v>
      </c>
      <c r="G1520" s="257">
        <v>19.313499999999998</v>
      </c>
      <c r="H1520" s="176" t="s">
        <v>55</v>
      </c>
      <c r="I1520" s="258">
        <f>IF(ISNUMBER(G1520),E1520*G1520,"")</f>
        <v>4.1775100499999995</v>
      </c>
      <c r="J1520" s="281"/>
      <c r="K1520" s="19"/>
      <c r="L1520" s="174">
        <v>16.8</v>
      </c>
    </row>
    <row r="1521" spans="1:12" x14ac:dyDescent="0.25">
      <c r="A1521" s="291"/>
      <c r="B1521" s="292"/>
      <c r="C1521" s="105" t="s">
        <v>144</v>
      </c>
      <c r="D1521" s="105" t="s">
        <v>21</v>
      </c>
      <c r="E1521" s="250">
        <v>0.21629999999999999</v>
      </c>
      <c r="F1521" s="176" t="s">
        <v>980</v>
      </c>
      <c r="G1521" s="257">
        <v>15.218999999999999</v>
      </c>
      <c r="H1521" s="176" t="s">
        <v>145</v>
      </c>
      <c r="I1521" s="258">
        <f>IF(ISNUMBER(G1521),E1521*G1521,"")</f>
        <v>3.2918696999999999</v>
      </c>
      <c r="J1521" s="281"/>
      <c r="K1521" s="19"/>
      <c r="L1521" s="174">
        <v>16.8</v>
      </c>
    </row>
    <row r="1522" spans="1:12" ht="38.25" x14ac:dyDescent="0.25">
      <c r="A1522" s="291"/>
      <c r="B1522" s="292"/>
      <c r="C1522" s="105" t="s">
        <v>966</v>
      </c>
      <c r="D1522" s="105" t="s">
        <v>184</v>
      </c>
      <c r="E1522" s="250">
        <v>2</v>
      </c>
      <c r="F1522" s="176" t="s">
        <v>980</v>
      </c>
      <c r="G1522" s="258">
        <v>1.0747065000000002</v>
      </c>
      <c r="H1522" s="176" t="s">
        <v>967</v>
      </c>
      <c r="I1522" s="258">
        <f>IF(ISNUMBER(G1522),E1522*G1522,"")</f>
        <v>2.1494130000000005</v>
      </c>
      <c r="J1522" s="281"/>
      <c r="K1522" s="19"/>
      <c r="L1522" s="174">
        <v>16.8</v>
      </c>
    </row>
    <row r="1523" spans="1:12" ht="25.5" x14ac:dyDescent="0.25">
      <c r="A1523" s="291"/>
      <c r="B1523" s="292"/>
      <c r="C1523" s="105" t="s">
        <v>982</v>
      </c>
      <c r="D1523" s="105" t="s">
        <v>588</v>
      </c>
      <c r="E1523" s="250">
        <v>0.33329999999999999</v>
      </c>
      <c r="F1523" s="176" t="s">
        <v>980</v>
      </c>
      <c r="G1523" s="258">
        <v>8.90145725</v>
      </c>
      <c r="H1523" s="176" t="s">
        <v>983</v>
      </c>
      <c r="I1523" s="258">
        <f>IF(ISNUMBER(G1523),E1523*G1523,"")</f>
        <v>2.9668557014249997</v>
      </c>
      <c r="J1523" s="281"/>
      <c r="K1523" s="19"/>
      <c r="L1523" s="174">
        <v>16.8</v>
      </c>
    </row>
    <row r="1524" spans="1:12" ht="15.75" thickBot="1" x14ac:dyDescent="0.3">
      <c r="A1524" s="296"/>
      <c r="B1524" s="297"/>
      <c r="C1524" s="105"/>
      <c r="D1524" s="105"/>
      <c r="E1524" s="250"/>
      <c r="F1524" s="176"/>
      <c r="G1524" s="257" t="s">
        <v>1079</v>
      </c>
      <c r="H1524" s="176"/>
      <c r="I1524" s="257" t="str">
        <f>IF(ISNUMBER(G1524),E1524*G1524,"")</f>
        <v/>
      </c>
      <c r="J1524" s="281"/>
      <c r="K1524" s="19"/>
      <c r="L1524" s="174">
        <v>16.8</v>
      </c>
    </row>
    <row r="1525" spans="1:12" ht="15.75" hidden="1" thickBot="1" x14ac:dyDescent="0.3">
      <c r="A1525" s="180" t="s">
        <v>984</v>
      </c>
      <c r="B1525" s="178" t="str">
        <f>INDEX(Orçamentária!A:B,MATCH(Composições!A1525,Orçamentária!A:A,0),2)</f>
        <v>Eletroduto de aço galvanizado de 2"</v>
      </c>
      <c r="C1525" s="30"/>
      <c r="D1525" s="13" t="str">
        <f>TRIM(INDEX(Orçamentária!C:C,MATCH(Composições!A1525,Orçamentária!A:A,0),1))</f>
        <v>m</v>
      </c>
      <c r="E1525" s="14"/>
      <c r="F1525" s="15" t="s">
        <v>962</v>
      </c>
      <c r="G1525" s="31" t="s">
        <v>1079</v>
      </c>
      <c r="H1525" s="16"/>
      <c r="I1525" s="16" t="str">
        <f>IF(ISNUMBER(G1525),E1525*G1525,"")</f>
        <v/>
      </c>
      <c r="J1525" s="17"/>
      <c r="K1525" s="18"/>
      <c r="L1525" s="174">
        <v>0</v>
      </c>
    </row>
    <row r="1526" spans="1:12" ht="15.75" hidden="1" thickBot="1" x14ac:dyDescent="0.3">
      <c r="A1526" s="181"/>
      <c r="B1526" s="179"/>
      <c r="C1526" s="20"/>
      <c r="D1526" s="20"/>
      <c r="E1526" s="21"/>
      <c r="F1526" s="22"/>
      <c r="G1526" s="32" t="s">
        <v>1079</v>
      </c>
      <c r="H1526" s="20"/>
      <c r="I1526" s="19" t="str">
        <f>IF(ISNUMBER(G1526),E1526*G1526,"")</f>
        <v/>
      </c>
      <c r="J1526" s="24"/>
      <c r="K1526" s="19"/>
      <c r="L1526" s="174">
        <v>0</v>
      </c>
    </row>
    <row r="1527" spans="1:12" ht="15.75" hidden="1" thickBot="1" x14ac:dyDescent="0.3">
      <c r="A1527" s="181"/>
      <c r="B1527" s="179"/>
      <c r="C1527" s="25" t="s">
        <v>985</v>
      </c>
      <c r="D1527" s="25" t="s">
        <v>184</v>
      </c>
      <c r="E1527" s="26">
        <v>1.05</v>
      </c>
      <c r="F1527" s="27" t="s">
        <v>964</v>
      </c>
      <c r="G1527" s="19">
        <v>0</v>
      </c>
      <c r="H1527" s="27" t="s">
        <v>986</v>
      </c>
      <c r="I1527" s="23">
        <f>IF(ISNUMBER(G1527),E1527*G1527,"")</f>
        <v>0</v>
      </c>
      <c r="J1527" s="28">
        <f>SUM(I1527:I1531)</f>
        <v>19.384407164474997</v>
      </c>
      <c r="K1527" s="29"/>
      <c r="L1527" s="174">
        <v>0</v>
      </c>
    </row>
    <row r="1528" spans="1:12" ht="15.75" hidden="1" thickBot="1" x14ac:dyDescent="0.3">
      <c r="A1528" s="181"/>
      <c r="B1528" s="179"/>
      <c r="C1528" s="25" t="s">
        <v>54</v>
      </c>
      <c r="D1528" s="25" t="s">
        <v>21</v>
      </c>
      <c r="E1528" s="26">
        <v>0.28210000000000002</v>
      </c>
      <c r="F1528" s="27" t="s">
        <v>964</v>
      </c>
      <c r="G1528" s="19">
        <v>19.313499999999998</v>
      </c>
      <c r="H1528" s="27" t="s">
        <v>55</v>
      </c>
      <c r="I1528" s="23">
        <f>IF(ISNUMBER(G1528),E1528*G1528,"")</f>
        <v>5.4483383499999993</v>
      </c>
      <c r="J1528" s="24"/>
      <c r="K1528" s="19"/>
      <c r="L1528" s="174">
        <v>0</v>
      </c>
    </row>
    <row r="1529" spans="1:12" ht="15.75" hidden="1" thickBot="1" x14ac:dyDescent="0.3">
      <c r="A1529" s="181"/>
      <c r="B1529" s="179"/>
      <c r="C1529" s="25" t="s">
        <v>144</v>
      </c>
      <c r="D1529" s="25" t="s">
        <v>21</v>
      </c>
      <c r="E1529" s="26">
        <v>0.28210000000000002</v>
      </c>
      <c r="F1529" s="27" t="s">
        <v>964</v>
      </c>
      <c r="G1529" s="19">
        <v>15.218999999999999</v>
      </c>
      <c r="H1529" s="27" t="s">
        <v>145</v>
      </c>
      <c r="I1529" s="23">
        <f>IF(ISNUMBER(G1529),E1529*G1529,"")</f>
        <v>4.2932798999999999</v>
      </c>
      <c r="J1529" s="24"/>
      <c r="K1529" s="19"/>
      <c r="L1529" s="174">
        <v>0</v>
      </c>
    </row>
    <row r="1530" spans="1:12" ht="51.75" hidden="1" thickBot="1" x14ac:dyDescent="0.3">
      <c r="A1530" s="181"/>
      <c r="B1530" s="179"/>
      <c r="C1530" s="25" t="s">
        <v>987</v>
      </c>
      <c r="D1530" s="25" t="s">
        <v>988</v>
      </c>
      <c r="E1530" s="26">
        <v>2</v>
      </c>
      <c r="F1530" s="27" t="s">
        <v>964</v>
      </c>
      <c r="G1530" s="23">
        <v>2.1733150000000001</v>
      </c>
      <c r="H1530" s="27" t="s">
        <v>989</v>
      </c>
      <c r="I1530" s="23">
        <f>IF(ISNUMBER(G1530),E1530*G1530,"")</f>
        <v>4.3466300000000002</v>
      </c>
      <c r="J1530" s="24"/>
      <c r="K1530" s="19"/>
      <c r="L1530" s="174">
        <v>0</v>
      </c>
    </row>
    <row r="1531" spans="1:12" ht="26.25" hidden="1" thickBot="1" x14ac:dyDescent="0.3">
      <c r="A1531" s="181"/>
      <c r="B1531" s="179"/>
      <c r="C1531" s="25" t="s">
        <v>990</v>
      </c>
      <c r="D1531" s="25" t="s">
        <v>588</v>
      </c>
      <c r="E1531" s="26">
        <v>0.33329999999999999</v>
      </c>
      <c r="F1531" s="27" t="s">
        <v>964</v>
      </c>
      <c r="G1531" s="23">
        <v>15.890065749999996</v>
      </c>
      <c r="H1531" s="27" t="s">
        <v>991</v>
      </c>
      <c r="I1531" s="19">
        <f>IF(ISNUMBER(G1531),E1531*G1531,"")</f>
        <v>5.2961589144749981</v>
      </c>
      <c r="J1531" s="24"/>
      <c r="K1531" s="19"/>
      <c r="L1531" s="174">
        <v>0</v>
      </c>
    </row>
    <row r="1532" spans="1:12" ht="15.75" hidden="1" thickBot="1" x14ac:dyDescent="0.3">
      <c r="A1532" s="182"/>
      <c r="B1532" s="183"/>
      <c r="C1532" s="25"/>
      <c r="D1532" s="25"/>
      <c r="E1532" s="26"/>
      <c r="F1532" s="27"/>
      <c r="G1532" s="19" t="s">
        <v>1079</v>
      </c>
      <c r="H1532" s="27"/>
      <c r="I1532" s="19" t="str">
        <f>IF(ISNUMBER(G1532),E1532*G1532,"")</f>
        <v/>
      </c>
      <c r="J1532" s="24"/>
      <c r="K1532" s="19"/>
      <c r="L1532" s="174">
        <v>0</v>
      </c>
    </row>
    <row r="1533" spans="1:12" ht="15.75" thickBot="1" x14ac:dyDescent="0.3">
      <c r="A1533" s="288" t="s">
        <v>992</v>
      </c>
      <c r="B1533" s="289" t="str">
        <f>INDEX(Orçamentária!A:B,MATCH(Composições!A1533,Orçamentária!A:A,0),2)</f>
        <v>Eletroduto de aço galvanizado de 3/4"</v>
      </c>
      <c r="C1533" s="274"/>
      <c r="D1533" s="265" t="str">
        <f>TRIM(INDEX(Orçamentária!C:C,MATCH(Composições!A1533,Orçamentária!A:A,0),1))</f>
        <v>m</v>
      </c>
      <c r="E1533" s="290"/>
      <c r="F1533" s="259" t="s">
        <v>993</v>
      </c>
      <c r="G1533" s="260" t="s">
        <v>1079</v>
      </c>
      <c r="H1533" s="261"/>
      <c r="I1533" s="261" t="str">
        <f>IF(ISNUMBER(G1533),E1533*G1533,"")</f>
        <v/>
      </c>
      <c r="J1533" s="280"/>
      <c r="K1533" s="18"/>
      <c r="L1533" s="174">
        <v>89.54</v>
      </c>
    </row>
    <row r="1534" spans="1:12" x14ac:dyDescent="0.25">
      <c r="A1534" s="291"/>
      <c r="B1534" s="292"/>
      <c r="C1534" s="155"/>
      <c r="D1534" s="155"/>
      <c r="E1534" s="293"/>
      <c r="F1534" s="294"/>
      <c r="G1534" s="262" t="s">
        <v>1079</v>
      </c>
      <c r="H1534" s="155"/>
      <c r="I1534" s="257" t="str">
        <f>IF(ISNUMBER(G1534),E1534*G1534,"")</f>
        <v/>
      </c>
      <c r="J1534" s="281"/>
      <c r="K1534" s="19"/>
      <c r="L1534" s="174">
        <v>89.54</v>
      </c>
    </row>
    <row r="1535" spans="1:12" x14ac:dyDescent="0.25">
      <c r="A1535" s="291"/>
      <c r="B1535" s="292"/>
      <c r="C1535" s="105" t="s">
        <v>994</v>
      </c>
      <c r="D1535" s="105" t="s">
        <v>184</v>
      </c>
      <c r="E1535" s="250">
        <v>1.05</v>
      </c>
      <c r="F1535" s="176" t="s">
        <v>995</v>
      </c>
      <c r="G1535" s="257">
        <v>6.1084999999999994</v>
      </c>
      <c r="H1535" s="176" t="s">
        <v>996</v>
      </c>
      <c r="I1535" s="258">
        <f>IF(ISNUMBER(G1535),E1535*G1535,"")</f>
        <v>6.4139249999999999</v>
      </c>
      <c r="J1535" s="295">
        <f>SUM(I1535:I1539)</f>
        <v>17.917554447074998</v>
      </c>
      <c r="K1535" s="29"/>
      <c r="L1535" s="174">
        <v>89.54</v>
      </c>
    </row>
    <row r="1536" spans="1:12" x14ac:dyDescent="0.25">
      <c r="A1536" s="291"/>
      <c r="B1536" s="292"/>
      <c r="C1536" s="105" t="s">
        <v>54</v>
      </c>
      <c r="D1536" s="105" t="s">
        <v>21</v>
      </c>
      <c r="E1536" s="250">
        <v>0.19439999999999999</v>
      </c>
      <c r="F1536" s="176" t="s">
        <v>995</v>
      </c>
      <c r="G1536" s="257">
        <v>19.313499999999998</v>
      </c>
      <c r="H1536" s="176" t="s">
        <v>55</v>
      </c>
      <c r="I1536" s="258">
        <f>IF(ISNUMBER(G1536),E1536*G1536,"")</f>
        <v>3.7545443999999994</v>
      </c>
      <c r="J1536" s="281"/>
      <c r="K1536" s="19"/>
      <c r="L1536" s="174">
        <v>89.54</v>
      </c>
    </row>
    <row r="1537" spans="1:12" x14ac:dyDescent="0.25">
      <c r="A1537" s="291"/>
      <c r="B1537" s="292"/>
      <c r="C1537" s="105" t="s">
        <v>144</v>
      </c>
      <c r="D1537" s="105" t="s">
        <v>21</v>
      </c>
      <c r="E1537" s="250">
        <v>0.19439999999999999</v>
      </c>
      <c r="F1537" s="176" t="s">
        <v>995</v>
      </c>
      <c r="G1537" s="257">
        <v>15.218999999999999</v>
      </c>
      <c r="H1537" s="176" t="s">
        <v>145</v>
      </c>
      <c r="I1537" s="258">
        <f>IF(ISNUMBER(G1537),E1537*G1537,"")</f>
        <v>2.9585735999999998</v>
      </c>
      <c r="J1537" s="281"/>
      <c r="K1537" s="19"/>
      <c r="L1537" s="174">
        <v>89.54</v>
      </c>
    </row>
    <row r="1538" spans="1:12" ht="38.25" x14ac:dyDescent="0.25">
      <c r="A1538" s="291"/>
      <c r="B1538" s="292"/>
      <c r="C1538" s="105" t="s">
        <v>966</v>
      </c>
      <c r="D1538" s="105" t="s">
        <v>184</v>
      </c>
      <c r="E1538" s="250">
        <v>2</v>
      </c>
      <c r="F1538" s="176" t="s">
        <v>995</v>
      </c>
      <c r="G1538" s="258">
        <v>1.0747065000000002</v>
      </c>
      <c r="H1538" s="176" t="s">
        <v>967</v>
      </c>
      <c r="I1538" s="258">
        <f>IF(ISNUMBER(G1538),E1538*G1538,"")</f>
        <v>2.1494130000000005</v>
      </c>
      <c r="J1538" s="281"/>
      <c r="K1538" s="19"/>
      <c r="L1538" s="174">
        <v>89.54</v>
      </c>
    </row>
    <row r="1539" spans="1:12" ht="25.5" x14ac:dyDescent="0.25">
      <c r="A1539" s="291"/>
      <c r="B1539" s="292"/>
      <c r="C1539" s="105" t="s">
        <v>997</v>
      </c>
      <c r="D1539" s="105" t="s">
        <v>588</v>
      </c>
      <c r="E1539" s="250">
        <v>0.33329999999999999</v>
      </c>
      <c r="F1539" s="176" t="s">
        <v>995</v>
      </c>
      <c r="G1539" s="258">
        <v>7.9240877499999991</v>
      </c>
      <c r="H1539" s="176" t="s">
        <v>998</v>
      </c>
      <c r="I1539" s="258">
        <f>IF(ISNUMBER(G1539),E1539*G1539,"")</f>
        <v>2.6410984470749996</v>
      </c>
      <c r="J1539" s="281"/>
      <c r="K1539" s="19"/>
      <c r="L1539" s="174">
        <v>89.54</v>
      </c>
    </row>
    <row r="1540" spans="1:12" ht="15.75" thickBot="1" x14ac:dyDescent="0.3">
      <c r="A1540" s="296"/>
      <c r="B1540" s="297"/>
      <c r="C1540" s="105"/>
      <c r="D1540" s="105"/>
      <c r="E1540" s="250"/>
      <c r="F1540" s="176"/>
      <c r="G1540" s="257" t="s">
        <v>1079</v>
      </c>
      <c r="H1540" s="176"/>
      <c r="I1540" s="257" t="str">
        <f>IF(ISNUMBER(G1540),E1540*G1540,"")</f>
        <v/>
      </c>
      <c r="J1540" s="281"/>
      <c r="K1540" s="19"/>
      <c r="L1540" s="174">
        <v>89.54</v>
      </c>
    </row>
    <row r="1541" spans="1:12" ht="15.75" hidden="1" thickBot="1" x14ac:dyDescent="0.3">
      <c r="A1541" s="180" t="s">
        <v>999</v>
      </c>
      <c r="B1541" s="178" t="str">
        <f>INDEX(Orçamentária!A:B,MATCH(Composições!A1541,Orçamentária!A:A,0),2)</f>
        <v>Eletroduto de PVC Corrugado Reforçado 1'' (DE 32mm)</v>
      </c>
      <c r="C1541" s="30"/>
      <c r="D1541" s="13" t="str">
        <f>TRIM(INDEX(Orçamentária!C:C,MATCH(Composições!A1541,Orçamentária!A:A,0),1))</f>
        <v>m</v>
      </c>
      <c r="E1541" s="14"/>
      <c r="F1541" s="15" t="s">
        <v>1000</v>
      </c>
      <c r="G1541" s="31" t="s">
        <v>1079</v>
      </c>
      <c r="H1541" s="16"/>
      <c r="I1541" s="16" t="str">
        <f>IF(ISNUMBER(G1541),E1541*G1541,"")</f>
        <v/>
      </c>
      <c r="J1541" s="17"/>
      <c r="K1541" s="18"/>
      <c r="L1541" s="174">
        <v>0</v>
      </c>
    </row>
    <row r="1542" spans="1:12" ht="15.75" hidden="1" thickBot="1" x14ac:dyDescent="0.3">
      <c r="A1542" s="181"/>
      <c r="B1542" s="179"/>
      <c r="C1542" s="20"/>
      <c r="D1542" s="20"/>
      <c r="E1542" s="21"/>
      <c r="F1542" s="22"/>
      <c r="G1542" s="32" t="s">
        <v>1079</v>
      </c>
      <c r="H1542" s="20"/>
      <c r="I1542" s="19" t="str">
        <f>IF(ISNUMBER(G1542),E1542*G1542,"")</f>
        <v/>
      </c>
      <c r="J1542" s="24"/>
      <c r="K1542" s="19"/>
      <c r="L1542" s="174">
        <v>0</v>
      </c>
    </row>
    <row r="1543" spans="1:12" ht="26.25" hidden="1" thickBot="1" x14ac:dyDescent="0.3">
      <c r="A1543" s="181"/>
      <c r="B1543" s="179"/>
      <c r="C1543" s="25" t="s">
        <v>1001</v>
      </c>
      <c r="D1543" s="25" t="s">
        <v>184</v>
      </c>
      <c r="E1543" s="26">
        <v>1.1000000000000001</v>
      </c>
      <c r="F1543" s="27" t="s">
        <v>1002</v>
      </c>
      <c r="G1543" s="23">
        <v>4.2464999999999993</v>
      </c>
      <c r="H1543" s="27" t="s">
        <v>1003</v>
      </c>
      <c r="I1543" s="23">
        <f>IF(ISNUMBER(G1543),E1543*G1543,"")</f>
        <v>4.6711499999999999</v>
      </c>
      <c r="J1543" s="28">
        <f>SUM(I1543:I1546)</f>
        <v>9.8931764999999992</v>
      </c>
      <c r="K1543" s="29"/>
      <c r="L1543" s="174">
        <v>0</v>
      </c>
    </row>
    <row r="1544" spans="1:12" ht="15.75" hidden="1" thickBot="1" x14ac:dyDescent="0.3">
      <c r="A1544" s="181"/>
      <c r="B1544" s="179"/>
      <c r="C1544" s="25" t="s">
        <v>54</v>
      </c>
      <c r="D1544" s="25" t="s">
        <v>21</v>
      </c>
      <c r="E1544" s="26">
        <v>0.09</v>
      </c>
      <c r="F1544" s="27" t="s">
        <v>1002</v>
      </c>
      <c r="G1544" s="19">
        <v>19.313499999999998</v>
      </c>
      <c r="H1544" s="27" t="s">
        <v>55</v>
      </c>
      <c r="I1544" s="23">
        <f>IF(ISNUMBER(G1544),E1544*G1544,"")</f>
        <v>1.7382149999999996</v>
      </c>
      <c r="J1544" s="24"/>
      <c r="K1544" s="19"/>
      <c r="L1544" s="174">
        <v>0</v>
      </c>
    </row>
    <row r="1545" spans="1:12" ht="15.75" hidden="1" thickBot="1" x14ac:dyDescent="0.3">
      <c r="A1545" s="181"/>
      <c r="B1545" s="179"/>
      <c r="C1545" s="25" t="s">
        <v>144</v>
      </c>
      <c r="D1545" s="25" t="s">
        <v>21</v>
      </c>
      <c r="E1545" s="26">
        <v>0.09</v>
      </c>
      <c r="F1545" s="27" t="s">
        <v>1002</v>
      </c>
      <c r="G1545" s="19">
        <v>15.218999999999999</v>
      </c>
      <c r="H1545" s="27" t="s">
        <v>145</v>
      </c>
      <c r="I1545" s="23">
        <f>IF(ISNUMBER(G1545),E1545*G1545,"")</f>
        <v>1.36971</v>
      </c>
      <c r="J1545" s="24"/>
      <c r="K1545" s="19"/>
      <c r="L1545" s="174">
        <v>0</v>
      </c>
    </row>
    <row r="1546" spans="1:12" ht="39" hidden="1" thickBot="1" x14ac:dyDescent="0.3">
      <c r="A1546" s="181"/>
      <c r="B1546" s="179"/>
      <c r="C1546" s="25" t="s">
        <v>1004</v>
      </c>
      <c r="D1546" s="25" t="s">
        <v>184</v>
      </c>
      <c r="E1546" s="26">
        <v>1</v>
      </c>
      <c r="F1546" s="27" t="s">
        <v>1002</v>
      </c>
      <c r="G1546" s="23">
        <v>2.1141015000000003</v>
      </c>
      <c r="H1546" s="27" t="s">
        <v>1005</v>
      </c>
      <c r="I1546" s="19">
        <f>IF(ISNUMBER(G1546),E1546*G1546,"")</f>
        <v>2.1141015000000003</v>
      </c>
      <c r="J1546" s="24"/>
      <c r="K1546" s="19"/>
      <c r="L1546" s="174">
        <v>0</v>
      </c>
    </row>
    <row r="1547" spans="1:12" ht="15.75" hidden="1" thickBot="1" x14ac:dyDescent="0.3">
      <c r="A1547" s="182"/>
      <c r="B1547" s="183"/>
      <c r="C1547" s="25"/>
      <c r="D1547" s="25"/>
      <c r="E1547" s="26"/>
      <c r="F1547" s="27"/>
      <c r="G1547" s="19" t="s">
        <v>1079</v>
      </c>
      <c r="H1547" s="27"/>
      <c r="I1547" s="19" t="str">
        <f>IF(ISNUMBER(G1547),E1547*G1547,"")</f>
        <v/>
      </c>
      <c r="J1547" s="24"/>
      <c r="K1547" s="19"/>
      <c r="L1547" s="174">
        <v>0</v>
      </c>
    </row>
    <row r="1548" spans="1:12" ht="15.75" hidden="1" thickBot="1" x14ac:dyDescent="0.3">
      <c r="A1548" s="180" t="s">
        <v>1006</v>
      </c>
      <c r="B1548" s="178" t="str">
        <f>INDEX(Orçamentária!A:B,MATCH(Composições!A1548,Orçamentária!A:A,0),2)</f>
        <v>Eletroduto de PVC Corrugado Reforçado 3/4'' (DE 25mm)</v>
      </c>
      <c r="C1548" s="30"/>
      <c r="D1548" s="13" t="str">
        <f>TRIM(INDEX(Orçamentária!C:C,MATCH(Composições!A1548,Orçamentária!A:A,0),1))</f>
        <v>m</v>
      </c>
      <c r="E1548" s="14"/>
      <c r="F1548" s="15" t="s">
        <v>1007</v>
      </c>
      <c r="G1548" s="31" t="s">
        <v>1079</v>
      </c>
      <c r="H1548" s="16"/>
      <c r="I1548" s="16" t="str">
        <f>IF(ISNUMBER(G1548),E1548*G1548,"")</f>
        <v/>
      </c>
      <c r="J1548" s="17"/>
      <c r="K1548" s="18"/>
      <c r="L1548" s="174">
        <v>0</v>
      </c>
    </row>
    <row r="1549" spans="1:12" ht="15.75" hidden="1" thickBot="1" x14ac:dyDescent="0.3">
      <c r="A1549" s="181"/>
      <c r="B1549" s="179"/>
      <c r="C1549" s="20"/>
      <c r="D1549" s="20"/>
      <c r="E1549" s="21"/>
      <c r="F1549" s="22"/>
      <c r="G1549" s="32" t="s">
        <v>1079</v>
      </c>
      <c r="H1549" s="20"/>
      <c r="I1549" s="19" t="str">
        <f>IF(ISNUMBER(G1549),E1549*G1549,"")</f>
        <v/>
      </c>
      <c r="J1549" s="24"/>
      <c r="K1549" s="19"/>
      <c r="L1549" s="174">
        <v>0</v>
      </c>
    </row>
    <row r="1550" spans="1:12" ht="15.75" hidden="1" thickBot="1" x14ac:dyDescent="0.3">
      <c r="A1550" s="181"/>
      <c r="B1550" s="179"/>
      <c r="C1550" s="25" t="s">
        <v>54</v>
      </c>
      <c r="D1550" s="25" t="s">
        <v>21</v>
      </c>
      <c r="E1550" s="26">
        <v>7.0000000000000007E-2</v>
      </c>
      <c r="F1550" s="27" t="s">
        <v>1008</v>
      </c>
      <c r="G1550" s="19">
        <v>19.313499999999998</v>
      </c>
      <c r="H1550" s="27" t="s">
        <v>55</v>
      </c>
      <c r="I1550" s="19">
        <f>IF(ISNUMBER(G1550),E1550*G1550,"")</f>
        <v>1.351945</v>
      </c>
      <c r="J1550" s="28">
        <f>SUM(I1550:I1553)</f>
        <v>6.9557765000000007</v>
      </c>
      <c r="K1550" s="29"/>
      <c r="L1550" s="174">
        <v>0</v>
      </c>
    </row>
    <row r="1551" spans="1:12" ht="15.75" hidden="1" thickBot="1" x14ac:dyDescent="0.3">
      <c r="A1551" s="181"/>
      <c r="B1551" s="179"/>
      <c r="C1551" s="25" t="s">
        <v>144</v>
      </c>
      <c r="D1551" s="25" t="s">
        <v>21</v>
      </c>
      <c r="E1551" s="26">
        <v>7.0000000000000007E-2</v>
      </c>
      <c r="F1551" s="27" t="s">
        <v>1008</v>
      </c>
      <c r="G1551" s="19">
        <v>15.218999999999999</v>
      </c>
      <c r="H1551" s="27" t="s">
        <v>145</v>
      </c>
      <c r="I1551" s="19">
        <f>IF(ISNUMBER(G1551),E1551*G1551,"")</f>
        <v>1.0653300000000001</v>
      </c>
      <c r="J1551" s="24"/>
      <c r="K1551" s="19"/>
      <c r="L1551" s="174">
        <v>0</v>
      </c>
    </row>
    <row r="1552" spans="1:12" ht="26.25" hidden="1" thickBot="1" x14ac:dyDescent="0.3">
      <c r="A1552" s="181"/>
      <c r="B1552" s="179"/>
      <c r="C1552" s="25" t="s">
        <v>1009</v>
      </c>
      <c r="D1552" s="25" t="s">
        <v>184</v>
      </c>
      <c r="E1552" s="26">
        <v>1.1000000000000001</v>
      </c>
      <c r="F1552" s="27" t="s">
        <v>1008</v>
      </c>
      <c r="G1552" s="23">
        <v>2.2039999999999997</v>
      </c>
      <c r="H1552" s="27" t="s">
        <v>1010</v>
      </c>
      <c r="I1552" s="19">
        <f>IF(ISNUMBER(G1552),E1552*G1552,"")</f>
        <v>2.4243999999999999</v>
      </c>
      <c r="J1552" s="24"/>
      <c r="K1552" s="19"/>
      <c r="L1552" s="174">
        <v>0</v>
      </c>
    </row>
    <row r="1553" spans="1:12" ht="39" hidden="1" thickBot="1" x14ac:dyDescent="0.3">
      <c r="A1553" s="181"/>
      <c r="B1553" s="179"/>
      <c r="C1553" s="25" t="s">
        <v>1004</v>
      </c>
      <c r="D1553" s="25" t="s">
        <v>184</v>
      </c>
      <c r="E1553" s="26">
        <v>1</v>
      </c>
      <c r="F1553" s="27" t="s">
        <v>1008</v>
      </c>
      <c r="G1553" s="23">
        <v>2.1141015000000003</v>
      </c>
      <c r="H1553" s="27" t="s">
        <v>1005</v>
      </c>
      <c r="I1553" s="19">
        <f>IF(ISNUMBER(G1553),E1553*G1553,"")</f>
        <v>2.1141015000000003</v>
      </c>
      <c r="J1553" s="24"/>
      <c r="K1553" s="19"/>
      <c r="L1553" s="174">
        <v>0</v>
      </c>
    </row>
    <row r="1554" spans="1:12" ht="15.75" hidden="1" thickBot="1" x14ac:dyDescent="0.3">
      <c r="A1554" s="182"/>
      <c r="B1554" s="183"/>
      <c r="C1554" s="25"/>
      <c r="D1554" s="25"/>
      <c r="E1554" s="26"/>
      <c r="F1554" s="27"/>
      <c r="G1554" s="19" t="s">
        <v>1079</v>
      </c>
      <c r="H1554" s="27"/>
      <c r="I1554" s="19" t="str">
        <f>IF(ISNUMBER(G1554),E1554*G1554,"")</f>
        <v/>
      </c>
      <c r="J1554" s="24"/>
      <c r="K1554" s="19"/>
      <c r="L1554" s="174">
        <v>0</v>
      </c>
    </row>
    <row r="1555" spans="1:12" ht="15.75" thickBot="1" x14ac:dyDescent="0.3">
      <c r="A1555" s="288" t="s">
        <v>1011</v>
      </c>
      <c r="B1555" s="289" t="str">
        <f>INDEX(Orçamentária!A:B,MATCH(Composições!A1555,Orçamentária!A:A,0),2)</f>
        <v>Eletroduto flexível metálico com capa de PVC 1’’</v>
      </c>
      <c r="C1555" s="274"/>
      <c r="D1555" s="265" t="str">
        <f>TRIM(INDEX(Orçamentária!C:C,MATCH(Composições!A1555,Orçamentária!A:A,0),1))</f>
        <v>m</v>
      </c>
      <c r="E1555" s="290"/>
      <c r="F1555" s="259" t="s">
        <v>1012</v>
      </c>
      <c r="G1555" s="260" t="s">
        <v>1079</v>
      </c>
      <c r="H1555" s="261"/>
      <c r="I1555" s="261" t="str">
        <f>IF(ISNUMBER(G1555),E1555*G1555,"")</f>
        <v/>
      </c>
      <c r="J1555" s="280"/>
      <c r="K1555" s="18"/>
      <c r="L1555" s="174">
        <v>1.5</v>
      </c>
    </row>
    <row r="1556" spans="1:12" x14ac:dyDescent="0.25">
      <c r="A1556" s="291"/>
      <c r="B1556" s="292"/>
      <c r="C1556" s="155"/>
      <c r="D1556" s="155"/>
      <c r="E1556" s="293"/>
      <c r="F1556" s="294"/>
      <c r="G1556" s="262" t="s">
        <v>1079</v>
      </c>
      <c r="H1556" s="155"/>
      <c r="I1556" s="257" t="str">
        <f>IF(ISNUMBER(G1556),E1556*G1556,"")</f>
        <v/>
      </c>
      <c r="J1556" s="281"/>
      <c r="K1556" s="19"/>
      <c r="L1556" s="174">
        <v>1.5</v>
      </c>
    </row>
    <row r="1557" spans="1:12" ht="25.5" x14ac:dyDescent="0.25">
      <c r="A1557" s="291"/>
      <c r="B1557" s="292"/>
      <c r="C1557" s="105" t="s">
        <v>1013</v>
      </c>
      <c r="D1557" s="105" t="s">
        <v>184</v>
      </c>
      <c r="E1557" s="250">
        <v>1.1000000000000001</v>
      </c>
      <c r="F1557" s="176" t="s">
        <v>1014</v>
      </c>
      <c r="G1557" s="258">
        <v>12.787000000000001</v>
      </c>
      <c r="H1557" s="176" t="s">
        <v>1015</v>
      </c>
      <c r="I1557" s="257">
        <f>IF(ISNUMBER(G1557),E1557*G1557,"")</f>
        <v>14.065700000000001</v>
      </c>
      <c r="J1557" s="295">
        <f>SUM(I1557:I1560)</f>
        <v>17.785529499999999</v>
      </c>
      <c r="K1557" s="29"/>
      <c r="L1557" s="174">
        <v>1.5</v>
      </c>
    </row>
    <row r="1558" spans="1:12" ht="25.5" x14ac:dyDescent="0.25">
      <c r="A1558" s="291"/>
      <c r="B1558" s="292"/>
      <c r="C1558" s="105" t="s">
        <v>1016</v>
      </c>
      <c r="D1558" s="105" t="s">
        <v>75</v>
      </c>
      <c r="E1558" s="250">
        <v>2E-3</v>
      </c>
      <c r="F1558" s="176" t="s">
        <v>1014</v>
      </c>
      <c r="G1558" s="258">
        <v>12.426</v>
      </c>
      <c r="H1558" s="176" t="s">
        <v>1017</v>
      </c>
      <c r="I1558" s="257">
        <f>IF(ISNUMBER(G1558),E1558*G1558,"")</f>
        <v>2.4852000000000003E-2</v>
      </c>
      <c r="J1558" s="281"/>
      <c r="K1558" s="19"/>
      <c r="L1558" s="174">
        <v>1.5</v>
      </c>
    </row>
    <row r="1559" spans="1:12" x14ac:dyDescent="0.25">
      <c r="A1559" s="291"/>
      <c r="B1559" s="292"/>
      <c r="C1559" s="105" t="s">
        <v>144</v>
      </c>
      <c r="D1559" s="271" t="s">
        <v>21</v>
      </c>
      <c r="E1559" s="250">
        <v>0.107</v>
      </c>
      <c r="F1559" s="176" t="s">
        <v>1014</v>
      </c>
      <c r="G1559" s="257">
        <v>15.218999999999999</v>
      </c>
      <c r="H1559" s="176" t="s">
        <v>145</v>
      </c>
      <c r="I1559" s="257">
        <f>IF(ISNUMBER(G1559),E1559*G1559,"")</f>
        <v>1.6284329999999998</v>
      </c>
      <c r="J1559" s="281"/>
      <c r="K1559" s="19"/>
      <c r="L1559" s="174">
        <v>1.5</v>
      </c>
    </row>
    <row r="1560" spans="1:12" x14ac:dyDescent="0.25">
      <c r="A1560" s="291"/>
      <c r="B1560" s="292"/>
      <c r="C1560" s="105" t="s">
        <v>54</v>
      </c>
      <c r="D1560" s="105" t="s">
        <v>21</v>
      </c>
      <c r="E1560" s="250">
        <v>0.107</v>
      </c>
      <c r="F1560" s="176" t="s">
        <v>1014</v>
      </c>
      <c r="G1560" s="257">
        <v>19.313499999999998</v>
      </c>
      <c r="H1560" s="176" t="s">
        <v>55</v>
      </c>
      <c r="I1560" s="257">
        <f>IF(ISNUMBER(G1560),E1560*G1560,"")</f>
        <v>2.0665444999999996</v>
      </c>
      <c r="J1560" s="281"/>
      <c r="K1560" s="19"/>
      <c r="L1560" s="174">
        <v>1.5</v>
      </c>
    </row>
    <row r="1561" spans="1:12" ht="15.75" thickBot="1" x14ac:dyDescent="0.3">
      <c r="A1561" s="296"/>
      <c r="B1561" s="297"/>
      <c r="C1561" s="105"/>
      <c r="D1561" s="105"/>
      <c r="E1561" s="250"/>
      <c r="F1561" s="176"/>
      <c r="G1561" s="257" t="s">
        <v>1079</v>
      </c>
      <c r="H1561" s="176"/>
      <c r="I1561" s="257" t="str">
        <f>IF(ISNUMBER(G1561),E1561*G1561,"")</f>
        <v/>
      </c>
      <c r="J1561" s="281"/>
      <c r="K1561" s="19"/>
      <c r="L1561" s="174">
        <v>1.5</v>
      </c>
    </row>
    <row r="1562" spans="1:12" ht="15.75" thickBot="1" x14ac:dyDescent="0.3">
      <c r="A1562" s="288" t="s">
        <v>1018</v>
      </c>
      <c r="B1562" s="289" t="str">
        <f>INDEX(Orçamentária!A:B,MATCH(Composições!A1562,Orçamentária!A:A,0),2)</f>
        <v>Eletroduto flexível metálico com capa de PVC 3/4"</v>
      </c>
      <c r="C1562" s="274"/>
      <c r="D1562" s="265" t="str">
        <f>TRIM(INDEX(Orçamentária!C:C,MATCH(Composições!A1562,Orçamentária!A:A,0),1))</f>
        <v>m</v>
      </c>
      <c r="E1562" s="290"/>
      <c r="F1562" s="259" t="s">
        <v>1019</v>
      </c>
      <c r="G1562" s="260" t="s">
        <v>1079</v>
      </c>
      <c r="H1562" s="261"/>
      <c r="I1562" s="261" t="str">
        <f>IF(ISNUMBER(G1562),E1562*G1562,"")</f>
        <v/>
      </c>
      <c r="J1562" s="280"/>
      <c r="K1562" s="18"/>
      <c r="L1562" s="174">
        <v>11.66</v>
      </c>
    </row>
    <row r="1563" spans="1:12" x14ac:dyDescent="0.25">
      <c r="A1563" s="291"/>
      <c r="B1563" s="292"/>
      <c r="C1563" s="155"/>
      <c r="D1563" s="155"/>
      <c r="E1563" s="293"/>
      <c r="F1563" s="294"/>
      <c r="G1563" s="262" t="s">
        <v>1079</v>
      </c>
      <c r="H1563" s="155"/>
      <c r="I1563" s="257" t="str">
        <f>IF(ISNUMBER(G1563),E1563*G1563,"")</f>
        <v/>
      </c>
      <c r="J1563" s="281"/>
      <c r="K1563" s="19"/>
      <c r="L1563" s="174">
        <v>11.66</v>
      </c>
    </row>
    <row r="1564" spans="1:12" ht="25.5" x14ac:dyDescent="0.25">
      <c r="A1564" s="291"/>
      <c r="B1564" s="292"/>
      <c r="C1564" s="105" t="s">
        <v>1020</v>
      </c>
      <c r="D1564" s="105" t="s">
        <v>184</v>
      </c>
      <c r="E1564" s="250">
        <v>1.1000000000000001</v>
      </c>
      <c r="F1564" s="176" t="s">
        <v>1021</v>
      </c>
      <c r="G1564" s="258">
        <v>9.7469999999999999</v>
      </c>
      <c r="H1564" s="176" t="s">
        <v>1022</v>
      </c>
      <c r="I1564" s="258">
        <f>IF(ISNUMBER(G1564),E1564*G1564,"")</f>
        <v>10.7217</v>
      </c>
      <c r="J1564" s="295">
        <f>SUM(I1564:I1567)</f>
        <v>13.750879499999998</v>
      </c>
      <c r="K1564" s="29"/>
      <c r="L1564" s="174">
        <v>11.66</v>
      </c>
    </row>
    <row r="1565" spans="1:12" ht="25.5" x14ac:dyDescent="0.25">
      <c r="A1565" s="291"/>
      <c r="B1565" s="292"/>
      <c r="C1565" s="105" t="s">
        <v>1016</v>
      </c>
      <c r="D1565" s="105" t="s">
        <v>75</v>
      </c>
      <c r="E1565" s="250">
        <v>2E-3</v>
      </c>
      <c r="F1565" s="176" t="s">
        <v>1014</v>
      </c>
      <c r="G1565" s="258">
        <v>12.426</v>
      </c>
      <c r="H1565" s="176" t="s">
        <v>1017</v>
      </c>
      <c r="I1565" s="258">
        <f>IF(ISNUMBER(G1565),E1565*G1565,"")</f>
        <v>2.4852000000000003E-2</v>
      </c>
      <c r="J1565" s="281"/>
      <c r="K1565" s="19"/>
      <c r="L1565" s="174">
        <v>11.66</v>
      </c>
    </row>
    <row r="1566" spans="1:12" x14ac:dyDescent="0.25">
      <c r="A1566" s="291"/>
      <c r="B1566" s="292"/>
      <c r="C1566" s="105" t="s">
        <v>144</v>
      </c>
      <c r="D1566" s="271" t="s">
        <v>21</v>
      </c>
      <c r="E1566" s="250">
        <v>8.6999999999999994E-2</v>
      </c>
      <c r="F1566" s="176" t="s">
        <v>1021</v>
      </c>
      <c r="G1566" s="257">
        <v>15.218999999999999</v>
      </c>
      <c r="H1566" s="176" t="s">
        <v>145</v>
      </c>
      <c r="I1566" s="258">
        <f>IF(ISNUMBER(G1566),E1566*G1566,"")</f>
        <v>1.3240529999999999</v>
      </c>
      <c r="J1566" s="281"/>
      <c r="K1566" s="19"/>
      <c r="L1566" s="174">
        <v>11.66</v>
      </c>
    </row>
    <row r="1567" spans="1:12" x14ac:dyDescent="0.25">
      <c r="A1567" s="291"/>
      <c r="B1567" s="292"/>
      <c r="C1567" s="105" t="s">
        <v>54</v>
      </c>
      <c r="D1567" s="105" t="s">
        <v>21</v>
      </c>
      <c r="E1567" s="250">
        <v>8.6999999999999994E-2</v>
      </c>
      <c r="F1567" s="176" t="s">
        <v>1021</v>
      </c>
      <c r="G1567" s="257">
        <v>19.313499999999998</v>
      </c>
      <c r="H1567" s="176" t="s">
        <v>55</v>
      </c>
      <c r="I1567" s="258">
        <f>IF(ISNUMBER(G1567),E1567*G1567,"")</f>
        <v>1.6802744999999997</v>
      </c>
      <c r="J1567" s="281"/>
      <c r="K1567" s="19"/>
      <c r="L1567" s="174">
        <v>11.66</v>
      </c>
    </row>
    <row r="1568" spans="1:12" ht="15.75" thickBot="1" x14ac:dyDescent="0.3">
      <c r="A1568" s="296"/>
      <c r="B1568" s="297"/>
      <c r="C1568" s="105"/>
      <c r="D1568" s="105"/>
      <c r="E1568" s="250"/>
      <c r="F1568" s="176"/>
      <c r="G1568" s="257" t="s">
        <v>1079</v>
      </c>
      <c r="H1568" s="176"/>
      <c r="I1568" s="257" t="str">
        <f>IF(ISNUMBER(G1568),E1568*G1568,"")</f>
        <v/>
      </c>
      <c r="J1568" s="281"/>
      <c r="K1568" s="19"/>
      <c r="L1568" s="174">
        <v>11.66</v>
      </c>
    </row>
    <row r="1569" spans="1:12" ht="15.75" hidden="1" thickBot="1" x14ac:dyDescent="0.3">
      <c r="A1569" s="180" t="s">
        <v>1023</v>
      </c>
      <c r="B1569" s="178" t="str">
        <f>INDEX(Orçamentária!A:B,MATCH(Composições!A1569,Orçamentária!A:A,0),2)</f>
        <v>Perfilado 38x38mm</v>
      </c>
      <c r="C1569" s="30"/>
      <c r="D1569" s="13" t="str">
        <f>TRIM(INDEX(Orçamentária!C:C,MATCH(Composições!A1569,Orçamentária!A:A,0),1))</f>
        <v>m</v>
      </c>
      <c r="E1569" s="14"/>
      <c r="F1569" s="15" t="s">
        <v>1024</v>
      </c>
      <c r="G1569" s="31" t="s">
        <v>1079</v>
      </c>
      <c r="H1569" s="16"/>
      <c r="I1569" s="16" t="str">
        <f>IF(ISNUMBER(G1569),E1569*G1569,"")</f>
        <v/>
      </c>
      <c r="J1569" s="17"/>
      <c r="K1569" s="18"/>
      <c r="L1569" s="174">
        <v>0</v>
      </c>
    </row>
    <row r="1570" spans="1:12" ht="15.75" hidden="1" thickBot="1" x14ac:dyDescent="0.3">
      <c r="A1570" s="181"/>
      <c r="B1570" s="179"/>
      <c r="C1570" s="20"/>
      <c r="D1570" s="20"/>
      <c r="E1570" s="21"/>
      <c r="F1570" s="22"/>
      <c r="G1570" s="32" t="s">
        <v>1079</v>
      </c>
      <c r="H1570" s="20"/>
      <c r="I1570" s="19" t="str">
        <f>IF(ISNUMBER(G1570),E1570*G1570,"")</f>
        <v/>
      </c>
      <c r="J1570" s="24"/>
      <c r="K1570" s="19"/>
      <c r="L1570" s="174">
        <v>0</v>
      </c>
    </row>
    <row r="1571" spans="1:12" ht="15.75" hidden="1" thickBot="1" x14ac:dyDescent="0.3">
      <c r="A1571" s="181"/>
      <c r="B1571" s="179"/>
      <c r="C1571" s="25" t="s">
        <v>1025</v>
      </c>
      <c r="D1571" s="25" t="s">
        <v>184</v>
      </c>
      <c r="E1571" s="26">
        <v>1.05</v>
      </c>
      <c r="F1571" s="27" t="s">
        <v>1026</v>
      </c>
      <c r="G1571" s="23" t="s">
        <v>1079</v>
      </c>
      <c r="H1571" s="27" t="s">
        <v>688</v>
      </c>
      <c r="I1571" s="23" t="str">
        <f>IF(ISNUMBER(G1571),E1571*G1571,"")</f>
        <v/>
      </c>
      <c r="J1571" s="28">
        <f>SUM(I1571:I1582)</f>
        <v>22.513309</v>
      </c>
      <c r="K1571" s="29"/>
      <c r="L1571" s="174">
        <v>0</v>
      </c>
    </row>
    <row r="1572" spans="1:12" ht="15.75" hidden="1" thickBot="1" x14ac:dyDescent="0.3">
      <c r="A1572" s="181"/>
      <c r="B1572" s="179"/>
      <c r="C1572" s="25" t="s">
        <v>144</v>
      </c>
      <c r="D1572" s="25" t="s">
        <v>21</v>
      </c>
      <c r="E1572" s="26">
        <v>0.45</v>
      </c>
      <c r="F1572" s="27" t="s">
        <v>1026</v>
      </c>
      <c r="G1572" s="19">
        <v>15.218999999999999</v>
      </c>
      <c r="H1572" s="27" t="s">
        <v>145</v>
      </c>
      <c r="I1572" s="23">
        <f>IF(ISNUMBER(G1572),E1572*G1572,"")</f>
        <v>6.8485499999999995</v>
      </c>
      <c r="J1572" s="24"/>
      <c r="K1572" s="19"/>
      <c r="L1572" s="174">
        <v>0</v>
      </c>
    </row>
    <row r="1573" spans="1:12" ht="15.75" hidden="1" thickBot="1" x14ac:dyDescent="0.3">
      <c r="A1573" s="181"/>
      <c r="B1573" s="179"/>
      <c r="C1573" s="25" t="s">
        <v>54</v>
      </c>
      <c r="D1573" s="25" t="s">
        <v>21</v>
      </c>
      <c r="E1573" s="26">
        <v>0.45</v>
      </c>
      <c r="F1573" s="27" t="s">
        <v>1026</v>
      </c>
      <c r="G1573" s="19">
        <v>19.313499999999998</v>
      </c>
      <c r="H1573" s="27" t="s">
        <v>55</v>
      </c>
      <c r="I1573" s="23">
        <f>IF(ISNUMBER(G1573),E1573*G1573,"")</f>
        <v>8.6910749999999997</v>
      </c>
      <c r="J1573" s="24"/>
      <c r="K1573" s="19"/>
      <c r="L1573" s="174">
        <v>0</v>
      </c>
    </row>
    <row r="1574" spans="1:12" ht="26.25" hidden="1" thickBot="1" x14ac:dyDescent="0.3">
      <c r="A1574" s="181"/>
      <c r="B1574" s="179"/>
      <c r="C1574" s="25" t="s">
        <v>912</v>
      </c>
      <c r="D1574" s="25" t="s">
        <v>305</v>
      </c>
      <c r="E1574" s="26">
        <v>0.67</v>
      </c>
      <c r="F1574" s="27" t="s">
        <v>1026</v>
      </c>
      <c r="G1574" s="19">
        <v>4.1989999999999998</v>
      </c>
      <c r="H1574" s="27" t="s">
        <v>1027</v>
      </c>
      <c r="I1574" s="23">
        <f>IF(ISNUMBER(G1574),E1574*G1574,"")</f>
        <v>2.8133300000000001</v>
      </c>
      <c r="J1574" s="24"/>
      <c r="K1574" s="19"/>
      <c r="L1574" s="174">
        <v>0</v>
      </c>
    </row>
    <row r="1575" spans="1:12" ht="15.75" hidden="1" thickBot="1" x14ac:dyDescent="0.3">
      <c r="A1575" s="181"/>
      <c r="B1575" s="179"/>
      <c r="C1575" s="25" t="s">
        <v>1028</v>
      </c>
      <c r="D1575" s="25" t="s">
        <v>305</v>
      </c>
      <c r="E1575" s="26">
        <v>0.67</v>
      </c>
      <c r="F1575" s="27" t="s">
        <v>1026</v>
      </c>
      <c r="G1575" s="19">
        <v>0</v>
      </c>
      <c r="H1575" s="27" t="s">
        <v>1027</v>
      </c>
      <c r="I1575" s="23">
        <f>IF(ISNUMBER(G1575),E1575*G1575,"")</f>
        <v>0</v>
      </c>
      <c r="J1575" s="24"/>
      <c r="K1575" s="19"/>
      <c r="L1575" s="174">
        <v>0</v>
      </c>
    </row>
    <row r="1576" spans="1:12" ht="15.75" hidden="1" thickBot="1" x14ac:dyDescent="0.3">
      <c r="A1576" s="181"/>
      <c r="B1576" s="179"/>
      <c r="C1576" s="25" t="s">
        <v>915</v>
      </c>
      <c r="D1576" s="25" t="s">
        <v>184</v>
      </c>
      <c r="E1576" s="26">
        <v>0.8</v>
      </c>
      <c r="F1576" s="27" t="s">
        <v>1026</v>
      </c>
      <c r="G1576" s="19">
        <v>2.5649999999999999</v>
      </c>
      <c r="H1576" s="27" t="s">
        <v>1027</v>
      </c>
      <c r="I1576" s="23">
        <f>IF(ISNUMBER(G1576),E1576*G1576,"")</f>
        <v>2.052</v>
      </c>
      <c r="J1576" s="24"/>
      <c r="K1576" s="19"/>
      <c r="L1576" s="174">
        <v>0</v>
      </c>
    </row>
    <row r="1577" spans="1:12" ht="15.75" hidden="1" thickBot="1" x14ac:dyDescent="0.3">
      <c r="A1577" s="181"/>
      <c r="B1577" s="179"/>
      <c r="C1577" s="25" t="s">
        <v>916</v>
      </c>
      <c r="D1577" s="25" t="s">
        <v>588</v>
      </c>
      <c r="E1577" s="26">
        <v>2.6633</v>
      </c>
      <c r="F1577" s="27" t="s">
        <v>0</v>
      </c>
      <c r="G1577" s="23">
        <v>0.22799999999999998</v>
      </c>
      <c r="H1577" s="27" t="s">
        <v>917</v>
      </c>
      <c r="I1577" s="23">
        <f>IF(ISNUMBER(G1577),E1577*G1577,"")</f>
        <v>0.60723239999999989</v>
      </c>
      <c r="J1577" s="24"/>
      <c r="K1577" s="19"/>
      <c r="L1577" s="174">
        <v>0</v>
      </c>
    </row>
    <row r="1578" spans="1:12" ht="15.75" hidden="1" thickBot="1" x14ac:dyDescent="0.3">
      <c r="A1578" s="181"/>
      <c r="B1578" s="179"/>
      <c r="C1578" s="25" t="s">
        <v>918</v>
      </c>
      <c r="D1578" s="25" t="s">
        <v>305</v>
      </c>
      <c r="E1578" s="26">
        <v>2.6633</v>
      </c>
      <c r="F1578" s="27" t="s">
        <v>1026</v>
      </c>
      <c r="G1578" s="19">
        <v>0.152</v>
      </c>
      <c r="H1578" s="27" t="s">
        <v>1027</v>
      </c>
      <c r="I1578" s="23">
        <f>IF(ISNUMBER(G1578),E1578*G1578,"")</f>
        <v>0.4048216</v>
      </c>
      <c r="J1578" s="24"/>
      <c r="K1578" s="19"/>
      <c r="L1578" s="174">
        <v>0</v>
      </c>
    </row>
    <row r="1579" spans="1:12" ht="15.75" hidden="1" thickBot="1" x14ac:dyDescent="0.3">
      <c r="A1579" s="181"/>
      <c r="B1579" s="179"/>
      <c r="C1579" s="25" t="s">
        <v>920</v>
      </c>
      <c r="D1579" s="25" t="s">
        <v>305</v>
      </c>
      <c r="E1579" s="26">
        <v>0.67</v>
      </c>
      <c r="F1579" s="27" t="s">
        <v>1026</v>
      </c>
      <c r="G1579" s="19">
        <v>0.67449999999999999</v>
      </c>
      <c r="H1579" s="27" t="s">
        <v>1027</v>
      </c>
      <c r="I1579" s="23">
        <f>IF(ISNUMBER(G1579),E1579*G1579,"")</f>
        <v>0.45191500000000001</v>
      </c>
      <c r="J1579" s="24"/>
      <c r="K1579" s="19"/>
      <c r="L1579" s="174">
        <v>0</v>
      </c>
    </row>
    <row r="1580" spans="1:12" ht="15.75" hidden="1" thickBot="1" x14ac:dyDescent="0.3">
      <c r="A1580" s="181"/>
      <c r="B1580" s="179"/>
      <c r="C1580" s="25" t="s">
        <v>921</v>
      </c>
      <c r="D1580" s="25" t="s">
        <v>32</v>
      </c>
      <c r="E1580" s="26">
        <v>1.33</v>
      </c>
      <c r="F1580" s="27" t="s">
        <v>1026</v>
      </c>
      <c r="G1580" s="19">
        <v>0.48449999999999999</v>
      </c>
      <c r="H1580" s="27" t="s">
        <v>1027</v>
      </c>
      <c r="I1580" s="23">
        <f>IF(ISNUMBER(G1580),E1580*G1580,"")</f>
        <v>0.64438499999999999</v>
      </c>
      <c r="J1580" s="24"/>
      <c r="K1580" s="19"/>
      <c r="L1580" s="174">
        <v>0</v>
      </c>
    </row>
    <row r="1581" spans="1:12" ht="15.75" hidden="1" thickBot="1" x14ac:dyDescent="0.3">
      <c r="A1581" s="181"/>
      <c r="B1581" s="179"/>
      <c r="C1581" s="25" t="s">
        <v>1029</v>
      </c>
      <c r="D1581" s="25" t="s">
        <v>305</v>
      </c>
      <c r="E1581" s="26">
        <v>0.33329999999999999</v>
      </c>
      <c r="F1581" s="27" t="s">
        <v>1026</v>
      </c>
      <c r="G1581" s="19">
        <v>0</v>
      </c>
      <c r="H1581" s="27" t="s">
        <v>1027</v>
      </c>
      <c r="I1581" s="23">
        <f>IF(ISNUMBER(G1581),E1581*G1581,"")</f>
        <v>0</v>
      </c>
      <c r="J1581" s="24"/>
      <c r="K1581" s="19"/>
      <c r="L1581" s="174">
        <v>0</v>
      </c>
    </row>
    <row r="1582" spans="1:12" ht="15.75" hidden="1" thickBot="1" x14ac:dyDescent="0.3">
      <c r="A1582" s="181"/>
      <c r="B1582" s="179"/>
      <c r="C1582" s="25" t="s">
        <v>1030</v>
      </c>
      <c r="D1582" s="25" t="s">
        <v>184</v>
      </c>
      <c r="E1582" s="26">
        <v>1.05</v>
      </c>
      <c r="F1582" s="27" t="s">
        <v>1026</v>
      </c>
      <c r="G1582" s="19">
        <v>0</v>
      </c>
      <c r="H1582" s="27" t="s">
        <v>1027</v>
      </c>
      <c r="I1582" s="23">
        <f>IF(ISNUMBER(G1582),E1582*G1582,"")</f>
        <v>0</v>
      </c>
      <c r="J1582" s="24"/>
      <c r="K1582" s="19"/>
      <c r="L1582" s="174">
        <v>0</v>
      </c>
    </row>
    <row r="1583" spans="1:12" ht="15.75" hidden="1" thickBot="1" x14ac:dyDescent="0.3">
      <c r="A1583" s="182"/>
      <c r="B1583" s="183"/>
      <c r="C1583" s="25"/>
      <c r="D1583" s="25"/>
      <c r="E1583" s="26"/>
      <c r="F1583" s="27"/>
      <c r="G1583" s="19" t="s">
        <v>1079</v>
      </c>
      <c r="H1583" s="27"/>
      <c r="I1583" s="19" t="str">
        <f>IF(ISNUMBER(G1583),E1583*G1583,"")</f>
        <v/>
      </c>
      <c r="J1583" s="24"/>
      <c r="K1583" s="19"/>
      <c r="L1583" s="174">
        <v>0</v>
      </c>
    </row>
    <row r="1584" spans="1:12" ht="15.75" thickBot="1" x14ac:dyDescent="0.3">
      <c r="A1584" s="288" t="s">
        <v>1031</v>
      </c>
      <c r="B1584" s="289" t="str">
        <f>INDEX(Orçamentária!A:B,MATCH(Composições!A1584,Orçamentária!A:A,0),2)</f>
        <v>Espelho 4x2</v>
      </c>
      <c r="C1584" s="274"/>
      <c r="D1584" s="265" t="str">
        <f>TRIM(INDEX(Orçamentária!C:C,MATCH(Composições!A1584,Orçamentária!A:A,0),1))</f>
        <v>un</v>
      </c>
      <c r="E1584" s="290"/>
      <c r="F1584" s="259" t="s">
        <v>1032</v>
      </c>
      <c r="G1584" s="260" t="s">
        <v>1079</v>
      </c>
      <c r="H1584" s="261"/>
      <c r="I1584" s="261" t="str">
        <f>IF(ISNUMBER(G1584),E1584*G1584,"")</f>
        <v/>
      </c>
      <c r="J1584" s="280"/>
      <c r="K1584" s="18"/>
      <c r="L1584" s="174">
        <v>42</v>
      </c>
    </row>
    <row r="1585" spans="1:12" x14ac:dyDescent="0.25">
      <c r="A1585" s="291"/>
      <c r="B1585" s="292"/>
      <c r="C1585" s="155"/>
      <c r="D1585" s="155"/>
      <c r="E1585" s="293"/>
      <c r="F1585" s="294"/>
      <c r="G1585" s="262" t="s">
        <v>1079</v>
      </c>
      <c r="H1585" s="155"/>
      <c r="I1585" s="257" t="str">
        <f>IF(ISNUMBER(G1585),E1585*G1585,"")</f>
        <v/>
      </c>
      <c r="J1585" s="281"/>
      <c r="K1585" s="19"/>
      <c r="L1585" s="174">
        <v>42</v>
      </c>
    </row>
    <row r="1586" spans="1:12" ht="25.5" x14ac:dyDescent="0.25">
      <c r="A1586" s="291"/>
      <c r="B1586" s="292"/>
      <c r="C1586" s="105" t="s">
        <v>1033</v>
      </c>
      <c r="D1586" s="105" t="s">
        <v>32</v>
      </c>
      <c r="E1586" s="250">
        <v>1</v>
      </c>
      <c r="F1586" s="176" t="s">
        <v>1032</v>
      </c>
      <c r="G1586" s="258">
        <v>2.5554999999999999</v>
      </c>
      <c r="H1586" s="176" t="s">
        <v>1034</v>
      </c>
      <c r="I1586" s="258">
        <f>IF(ISNUMBER(G1586),E1586*G1586,"")</f>
        <v>2.5554999999999999</v>
      </c>
      <c r="J1586" s="295">
        <f>SUM(I1586:I1588)</f>
        <v>5.5850879999999989</v>
      </c>
      <c r="K1586" s="29"/>
      <c r="L1586" s="174">
        <v>42</v>
      </c>
    </row>
    <row r="1587" spans="1:12" ht="25.5" x14ac:dyDescent="0.25">
      <c r="A1587" s="291"/>
      <c r="B1587" s="292"/>
      <c r="C1587" s="105" t="s">
        <v>1035</v>
      </c>
      <c r="D1587" s="105" t="s">
        <v>32</v>
      </c>
      <c r="E1587" s="250">
        <v>1</v>
      </c>
      <c r="F1587" s="176" t="s">
        <v>1032</v>
      </c>
      <c r="G1587" s="258">
        <v>1.3299999999999998</v>
      </c>
      <c r="H1587" s="176" t="s">
        <v>1036</v>
      </c>
      <c r="I1587" s="258">
        <f>IF(ISNUMBER(G1587),E1587*G1587,"")</f>
        <v>1.3299999999999998</v>
      </c>
      <c r="J1587" s="281"/>
      <c r="K1587" s="19"/>
      <c r="L1587" s="174">
        <v>42</v>
      </c>
    </row>
    <row r="1588" spans="1:12" x14ac:dyDescent="0.25">
      <c r="A1588" s="291"/>
      <c r="B1588" s="292"/>
      <c r="C1588" s="105" t="s">
        <v>54</v>
      </c>
      <c r="D1588" s="105" t="s">
        <v>21</v>
      </c>
      <c r="E1588" s="250">
        <v>8.7999999999999995E-2</v>
      </c>
      <c r="F1588" s="176" t="s">
        <v>1032</v>
      </c>
      <c r="G1588" s="257">
        <v>19.313499999999998</v>
      </c>
      <c r="H1588" s="176" t="s">
        <v>55</v>
      </c>
      <c r="I1588" s="258">
        <f>IF(ISNUMBER(G1588),E1588*G1588,"")</f>
        <v>1.6995879999999997</v>
      </c>
      <c r="J1588" s="281"/>
      <c r="K1588" s="19"/>
      <c r="L1588" s="174">
        <v>42</v>
      </c>
    </row>
    <row r="1589" spans="1:12" ht="15.75" thickBot="1" x14ac:dyDescent="0.3">
      <c r="A1589" s="296"/>
      <c r="B1589" s="297"/>
      <c r="C1589" s="105"/>
      <c r="D1589" s="105"/>
      <c r="E1589" s="250"/>
      <c r="F1589" s="176"/>
      <c r="G1589" s="257" t="s">
        <v>1079</v>
      </c>
      <c r="H1589" s="176"/>
      <c r="I1589" s="257" t="str">
        <f>IF(ISNUMBER(G1589),E1589*G1589,"")</f>
        <v/>
      </c>
      <c r="J1589" s="281"/>
      <c r="K1589" s="19"/>
      <c r="L1589" s="174">
        <v>42</v>
      </c>
    </row>
    <row r="1590" spans="1:12" ht="15.75" thickBot="1" x14ac:dyDescent="0.3">
      <c r="A1590" s="288" t="s">
        <v>1037</v>
      </c>
      <c r="B1590" s="289" t="str">
        <f>INDEX(Orçamentária!A:B,MATCH(Composições!A1590,Orçamentária!A:A,0),2)</f>
        <v>Espelho 4x4</v>
      </c>
      <c r="C1590" s="274"/>
      <c r="D1590" s="265" t="str">
        <f>TRIM(INDEX(Orçamentária!C:C,MATCH(Composições!A1590,Orçamentária!A:A,0),1))</f>
        <v>un</v>
      </c>
      <c r="E1590" s="290"/>
      <c r="F1590" s="259" t="s">
        <v>1038</v>
      </c>
      <c r="G1590" s="260" t="s">
        <v>1079</v>
      </c>
      <c r="H1590" s="261"/>
      <c r="I1590" s="261" t="str">
        <f>IF(ISNUMBER(G1590),E1590*G1590,"")</f>
        <v/>
      </c>
      <c r="J1590" s="280"/>
      <c r="K1590" s="18"/>
      <c r="L1590" s="174">
        <v>4</v>
      </c>
    </row>
    <row r="1591" spans="1:12" x14ac:dyDescent="0.25">
      <c r="A1591" s="291"/>
      <c r="B1591" s="292"/>
      <c r="C1591" s="155"/>
      <c r="D1591" s="155"/>
      <c r="E1591" s="293"/>
      <c r="F1591" s="294"/>
      <c r="G1591" s="262" t="s">
        <v>1079</v>
      </c>
      <c r="H1591" s="155"/>
      <c r="I1591" s="257" t="str">
        <f>IF(ISNUMBER(G1591),E1591*G1591,"")</f>
        <v/>
      </c>
      <c r="J1591" s="281"/>
      <c r="K1591" s="19"/>
      <c r="L1591" s="174">
        <v>4</v>
      </c>
    </row>
    <row r="1592" spans="1:12" ht="25.5" x14ac:dyDescent="0.25">
      <c r="A1592" s="291"/>
      <c r="B1592" s="292"/>
      <c r="C1592" s="105" t="s">
        <v>1039</v>
      </c>
      <c r="D1592" s="105" t="s">
        <v>32</v>
      </c>
      <c r="E1592" s="250">
        <v>1</v>
      </c>
      <c r="F1592" s="176" t="s">
        <v>1038</v>
      </c>
      <c r="G1592" s="258">
        <v>5.1964999999999995</v>
      </c>
      <c r="H1592" s="176" t="s">
        <v>1040</v>
      </c>
      <c r="I1592" s="257">
        <f>IF(ISNUMBER(G1592),E1592*G1592,"")</f>
        <v>5.1964999999999995</v>
      </c>
      <c r="J1592" s="295">
        <f>SUM(I1592:I1594)</f>
        <v>9.3806039999999999</v>
      </c>
      <c r="K1592" s="29"/>
      <c r="L1592" s="174">
        <v>4</v>
      </c>
    </row>
    <row r="1593" spans="1:12" ht="25.5" x14ac:dyDescent="0.25">
      <c r="A1593" s="291"/>
      <c r="B1593" s="292"/>
      <c r="C1593" s="105" t="s">
        <v>1041</v>
      </c>
      <c r="D1593" s="271" t="s">
        <v>32</v>
      </c>
      <c r="E1593" s="250">
        <v>1</v>
      </c>
      <c r="F1593" s="176" t="s">
        <v>1038</v>
      </c>
      <c r="G1593" s="258">
        <v>2.1755</v>
      </c>
      <c r="H1593" s="176" t="s">
        <v>1042</v>
      </c>
      <c r="I1593" s="258">
        <f>IF(ISNUMBER(G1593),E1593*G1593,"")</f>
        <v>2.1755</v>
      </c>
      <c r="J1593" s="281"/>
      <c r="K1593" s="19"/>
      <c r="L1593" s="174">
        <v>4</v>
      </c>
    </row>
    <row r="1594" spans="1:12" x14ac:dyDescent="0.25">
      <c r="A1594" s="291"/>
      <c r="B1594" s="292"/>
      <c r="C1594" s="105" t="s">
        <v>54</v>
      </c>
      <c r="D1594" s="105" t="s">
        <v>21</v>
      </c>
      <c r="E1594" s="250">
        <v>0.104</v>
      </c>
      <c r="F1594" s="176" t="s">
        <v>1038</v>
      </c>
      <c r="G1594" s="257">
        <v>19.313499999999998</v>
      </c>
      <c r="H1594" s="176" t="s">
        <v>55</v>
      </c>
      <c r="I1594" s="258">
        <f>IF(ISNUMBER(G1594),E1594*G1594,"")</f>
        <v>2.0086039999999996</v>
      </c>
      <c r="J1594" s="281"/>
      <c r="K1594" s="19"/>
      <c r="L1594" s="174">
        <v>4</v>
      </c>
    </row>
    <row r="1595" spans="1:12" ht="15.75" thickBot="1" x14ac:dyDescent="0.3">
      <c r="A1595" s="296"/>
      <c r="B1595" s="297"/>
      <c r="C1595" s="105"/>
      <c r="D1595" s="105"/>
      <c r="E1595" s="250"/>
      <c r="F1595" s="176"/>
      <c r="G1595" s="257" t="s">
        <v>1079</v>
      </c>
      <c r="H1595" s="176"/>
      <c r="I1595" s="257" t="str">
        <f>IF(ISNUMBER(G1595),E1595*G1595,"")</f>
        <v/>
      </c>
      <c r="J1595" s="281"/>
      <c r="K1595" s="19"/>
      <c r="L1595" s="174">
        <v>4</v>
      </c>
    </row>
    <row r="1596" spans="1:12" ht="15.75" hidden="1" thickBot="1" x14ac:dyDescent="0.3">
      <c r="A1596" s="180" t="s">
        <v>1043</v>
      </c>
      <c r="B1596" s="178" t="str">
        <f>INDEX(Orçamentária!A:B,MATCH(Composições!A1596,Orçamentária!A:A,0),2)</f>
        <v>Espelho cego redondo</v>
      </c>
      <c r="C1596" s="30"/>
      <c r="D1596" s="13" t="str">
        <f>TRIM(INDEX(Orçamentária!C:C,MATCH(Composições!A1596,Orçamentária!A:A,0),1))</f>
        <v>un</v>
      </c>
      <c r="E1596" s="14"/>
      <c r="F1596" s="15" t="s">
        <v>1044</v>
      </c>
      <c r="G1596" s="31" t="s">
        <v>1079</v>
      </c>
      <c r="H1596" s="16"/>
      <c r="I1596" s="16" t="str">
        <f>IF(ISNUMBER(G1596),E1596*G1596,"")</f>
        <v/>
      </c>
      <c r="J1596" s="17"/>
      <c r="K1596" s="18"/>
      <c r="L1596" s="174">
        <v>0</v>
      </c>
    </row>
    <row r="1597" spans="1:12" ht="15.75" hidden="1" thickBot="1" x14ac:dyDescent="0.3">
      <c r="A1597" s="181"/>
      <c r="B1597" s="179"/>
      <c r="C1597" s="20"/>
      <c r="D1597" s="20"/>
      <c r="E1597" s="21"/>
      <c r="F1597" s="22"/>
      <c r="G1597" s="32" t="s">
        <v>1079</v>
      </c>
      <c r="H1597" s="20"/>
      <c r="I1597" s="19" t="str">
        <f>IF(ISNUMBER(G1597),E1597*G1597,"")</f>
        <v/>
      </c>
      <c r="J1597" s="24"/>
      <c r="K1597" s="19"/>
      <c r="L1597" s="174">
        <v>0</v>
      </c>
    </row>
    <row r="1598" spans="1:12" ht="15.75" hidden="1" thickBot="1" x14ac:dyDescent="0.3">
      <c r="A1598" s="181"/>
      <c r="B1598" s="179"/>
      <c r="C1598" s="25" t="s">
        <v>1045</v>
      </c>
      <c r="D1598" s="25" t="s">
        <v>32</v>
      </c>
      <c r="E1598" s="26">
        <v>1</v>
      </c>
      <c r="F1598" s="27" t="s">
        <v>1038</v>
      </c>
      <c r="G1598" s="23" t="s">
        <v>1079</v>
      </c>
      <c r="H1598" s="27" t="s">
        <v>33</v>
      </c>
      <c r="I1598" s="19" t="str">
        <f>IF(ISNUMBER(G1598),E1598*G1598,"")</f>
        <v/>
      </c>
      <c r="J1598" s="28">
        <f>SUM(I1598:I1600)</f>
        <v>4.1841039999999996</v>
      </c>
      <c r="K1598" s="29"/>
      <c r="L1598" s="174">
        <v>0</v>
      </c>
    </row>
    <row r="1599" spans="1:12" ht="26.25" hidden="1" thickBot="1" x14ac:dyDescent="0.3">
      <c r="A1599" s="181"/>
      <c r="B1599" s="179"/>
      <c r="C1599" s="25" t="s">
        <v>1041</v>
      </c>
      <c r="D1599" s="36" t="s">
        <v>32</v>
      </c>
      <c r="E1599" s="26">
        <v>1</v>
      </c>
      <c r="F1599" s="27" t="s">
        <v>1038</v>
      </c>
      <c r="G1599" s="23">
        <v>2.1755</v>
      </c>
      <c r="H1599" s="27" t="s">
        <v>1042</v>
      </c>
      <c r="I1599" s="23">
        <f>IF(ISNUMBER(G1599),E1599*G1599,"")</f>
        <v>2.1755</v>
      </c>
      <c r="J1599" s="24"/>
      <c r="K1599" s="19"/>
      <c r="L1599" s="174">
        <v>0</v>
      </c>
    </row>
    <row r="1600" spans="1:12" ht="15.75" hidden="1" thickBot="1" x14ac:dyDescent="0.3">
      <c r="A1600" s="181"/>
      <c r="B1600" s="179"/>
      <c r="C1600" s="25" t="s">
        <v>54</v>
      </c>
      <c r="D1600" s="25" t="s">
        <v>21</v>
      </c>
      <c r="E1600" s="26">
        <v>0.104</v>
      </c>
      <c r="F1600" s="27" t="s">
        <v>1038</v>
      </c>
      <c r="G1600" s="19">
        <v>19.313499999999998</v>
      </c>
      <c r="H1600" s="27" t="s">
        <v>55</v>
      </c>
      <c r="I1600" s="23">
        <f>IF(ISNUMBER(G1600),E1600*G1600,"")</f>
        <v>2.0086039999999996</v>
      </c>
      <c r="J1600" s="24"/>
      <c r="K1600" s="19"/>
      <c r="L1600" s="174">
        <v>0</v>
      </c>
    </row>
    <row r="1601" spans="1:12" ht="15.75" hidden="1" thickBot="1" x14ac:dyDescent="0.3">
      <c r="A1601" s="182"/>
      <c r="B1601" s="183"/>
      <c r="C1601" s="25"/>
      <c r="D1601" s="25"/>
      <c r="E1601" s="26"/>
      <c r="F1601" s="27"/>
      <c r="G1601" s="19" t="s">
        <v>1079</v>
      </c>
      <c r="H1601" s="27"/>
      <c r="I1601" s="19" t="str">
        <f>IF(ISNUMBER(G1601),E1601*G1601,"")</f>
        <v/>
      </c>
      <c r="J1601" s="24"/>
      <c r="K1601" s="19"/>
      <c r="L1601" s="174">
        <v>0</v>
      </c>
    </row>
    <row r="1602" spans="1:12" ht="15.75" hidden="1" thickBot="1" x14ac:dyDescent="0.3">
      <c r="A1602" s="180" t="s">
        <v>1046</v>
      </c>
      <c r="B1602" s="178" t="str">
        <f>INDEX(Orçamentária!A:B,MATCH(Composições!A1602,Orçamentária!A:A,0),2)</f>
        <v>Interruptor para condulete</v>
      </c>
      <c r="C1602" s="30"/>
      <c r="D1602" s="13" t="str">
        <f>TRIM(INDEX(Orçamentária!C:C,MATCH(Composições!A1602,Orçamentária!A:A,0),1))</f>
        <v>un</v>
      </c>
      <c r="E1602" s="14"/>
      <c r="F1602" s="15" t="s">
        <v>1047</v>
      </c>
      <c r="G1602" s="31" t="s">
        <v>1079</v>
      </c>
      <c r="H1602" s="16"/>
      <c r="I1602" s="16" t="str">
        <f>IF(ISNUMBER(G1602),E1602*G1602,"")</f>
        <v/>
      </c>
      <c r="J1602" s="17"/>
      <c r="K1602" s="18"/>
      <c r="L1602" s="174">
        <v>0</v>
      </c>
    </row>
    <row r="1603" spans="1:12" ht="15.75" hidden="1" thickBot="1" x14ac:dyDescent="0.3">
      <c r="A1603" s="181"/>
      <c r="B1603" s="179"/>
      <c r="C1603" s="20"/>
      <c r="D1603" s="20"/>
      <c r="E1603" s="21"/>
      <c r="F1603" s="22"/>
      <c r="G1603" s="32" t="s">
        <v>1079</v>
      </c>
      <c r="H1603" s="20"/>
      <c r="I1603" s="19" t="str">
        <f>IF(ISNUMBER(G1603),E1603*G1603,"")</f>
        <v/>
      </c>
      <c r="J1603" s="24"/>
      <c r="K1603" s="19"/>
      <c r="L1603" s="174">
        <v>0</v>
      </c>
    </row>
    <row r="1604" spans="1:12" ht="15.75" hidden="1" thickBot="1" x14ac:dyDescent="0.3">
      <c r="A1604" s="181"/>
      <c r="B1604" s="179"/>
      <c r="C1604" s="25" t="s">
        <v>54</v>
      </c>
      <c r="D1604" s="25" t="s">
        <v>21</v>
      </c>
      <c r="E1604" s="26">
        <f>0.3/2</f>
        <v>0.15</v>
      </c>
      <c r="F1604" s="27" t="s">
        <v>1048</v>
      </c>
      <c r="G1604" s="19">
        <v>19.313499999999998</v>
      </c>
      <c r="H1604" s="27" t="s">
        <v>55</v>
      </c>
      <c r="I1604" s="23">
        <f>IF(ISNUMBER(G1604),E1604*G1604,"")</f>
        <v>2.8970249999999997</v>
      </c>
      <c r="J1604" s="28">
        <f>SUM(I1604:I1607)</f>
        <v>5.1798749999999991</v>
      </c>
      <c r="K1604" s="29"/>
      <c r="L1604" s="174">
        <v>0</v>
      </c>
    </row>
    <row r="1605" spans="1:12" ht="15.75" hidden="1" thickBot="1" x14ac:dyDescent="0.3">
      <c r="A1605" s="181"/>
      <c r="B1605" s="179"/>
      <c r="C1605" s="25" t="s">
        <v>144</v>
      </c>
      <c r="D1605" s="25" t="s">
        <v>21</v>
      </c>
      <c r="E1605" s="26">
        <f>0.3/2</f>
        <v>0.15</v>
      </c>
      <c r="F1605" s="27" t="s">
        <v>1048</v>
      </c>
      <c r="G1605" s="19">
        <v>15.218999999999999</v>
      </c>
      <c r="H1605" s="27" t="s">
        <v>145</v>
      </c>
      <c r="I1605" s="23">
        <f>IF(ISNUMBER(G1605),E1605*G1605,"")</f>
        <v>2.2828499999999998</v>
      </c>
      <c r="J1605" s="24"/>
      <c r="K1605" s="19"/>
      <c r="L1605" s="174">
        <v>0</v>
      </c>
    </row>
    <row r="1606" spans="1:12" ht="26.25" hidden="1" thickBot="1" x14ac:dyDescent="0.3">
      <c r="A1606" s="181"/>
      <c r="B1606" s="179"/>
      <c r="C1606" s="25" t="s">
        <v>1049</v>
      </c>
      <c r="D1606" s="25" t="s">
        <v>32</v>
      </c>
      <c r="E1606" s="26">
        <v>1</v>
      </c>
      <c r="F1606" s="27" t="s">
        <v>1048</v>
      </c>
      <c r="G1606" s="23" t="s">
        <v>1079</v>
      </c>
      <c r="H1606" s="27" t="s">
        <v>33</v>
      </c>
      <c r="I1606" s="23" t="str">
        <f>IF(ISNUMBER(G1606),E1606*G1606,"")</f>
        <v/>
      </c>
      <c r="J1606" s="24"/>
      <c r="K1606" s="19"/>
      <c r="L1606" s="174">
        <v>0</v>
      </c>
    </row>
    <row r="1607" spans="1:12" ht="26.25" hidden="1" thickBot="1" x14ac:dyDescent="0.3">
      <c r="A1607" s="181"/>
      <c r="B1607" s="179"/>
      <c r="C1607" s="25" t="s">
        <v>1050</v>
      </c>
      <c r="D1607" s="25" t="s">
        <v>32</v>
      </c>
      <c r="E1607" s="26">
        <v>1</v>
      </c>
      <c r="F1607" s="27" t="s">
        <v>1048</v>
      </c>
      <c r="G1607" s="23" t="s">
        <v>1079</v>
      </c>
      <c r="H1607" s="27" t="s">
        <v>33</v>
      </c>
      <c r="I1607" s="19" t="str">
        <f>IF(ISNUMBER(G1607),E1607*G1607,"")</f>
        <v/>
      </c>
      <c r="J1607" s="24"/>
      <c r="K1607" s="19"/>
      <c r="L1607" s="174">
        <v>0</v>
      </c>
    </row>
    <row r="1608" spans="1:12" ht="15.75" hidden="1" thickBot="1" x14ac:dyDescent="0.3">
      <c r="A1608" s="182"/>
      <c r="B1608" s="183"/>
      <c r="C1608" s="25"/>
      <c r="D1608" s="25"/>
      <c r="E1608" s="26"/>
      <c r="F1608" s="27"/>
      <c r="G1608" s="19" t="s">
        <v>1079</v>
      </c>
      <c r="H1608" s="27"/>
      <c r="I1608" s="19" t="str">
        <f>IF(ISNUMBER(G1608),E1608*G1608,"")</f>
        <v/>
      </c>
      <c r="J1608" s="24"/>
      <c r="K1608" s="19"/>
      <c r="L1608" s="174">
        <v>0</v>
      </c>
    </row>
    <row r="1609" spans="1:12" ht="15.75" thickBot="1" x14ac:dyDescent="0.3">
      <c r="A1609" s="288" t="s">
        <v>1051</v>
      </c>
      <c r="B1609" s="289" t="str">
        <f>INDEX(Orçamentária!A:B,MATCH(Composições!A1609,Orçamentária!A:A,0),2)</f>
        <v>Módulo cego</v>
      </c>
      <c r="C1609" s="274"/>
      <c r="D1609" s="265" t="str">
        <f>TRIM(INDEX(Orçamentária!C:C,MATCH(Composições!A1609,Orçamentária!A:A,0),1))</f>
        <v>un</v>
      </c>
      <c r="E1609" s="290"/>
      <c r="F1609" s="259" t="s">
        <v>1052</v>
      </c>
      <c r="G1609" s="260" t="s">
        <v>1079</v>
      </c>
      <c r="H1609" s="261"/>
      <c r="I1609" s="261" t="str">
        <f>IF(ISNUMBER(G1609),E1609*G1609,"")</f>
        <v/>
      </c>
      <c r="J1609" s="280"/>
      <c r="K1609" s="18"/>
      <c r="L1609" s="174">
        <v>96</v>
      </c>
    </row>
    <row r="1610" spans="1:12" x14ac:dyDescent="0.25">
      <c r="A1610" s="291"/>
      <c r="B1610" s="292"/>
      <c r="C1610" s="155"/>
      <c r="D1610" s="155"/>
      <c r="E1610" s="293"/>
      <c r="F1610" s="294"/>
      <c r="G1610" s="262" t="s">
        <v>1079</v>
      </c>
      <c r="H1610" s="155"/>
      <c r="I1610" s="257" t="str">
        <f>IF(ISNUMBER(G1610),E1610*G1610,"")</f>
        <v/>
      </c>
      <c r="J1610" s="281"/>
      <c r="K1610" s="19"/>
      <c r="L1610" s="174">
        <v>96</v>
      </c>
    </row>
    <row r="1611" spans="1:12" x14ac:dyDescent="0.25">
      <c r="A1611" s="291"/>
      <c r="B1611" s="292"/>
      <c r="C1611" s="105" t="s">
        <v>54</v>
      </c>
      <c r="D1611" s="105" t="s">
        <v>21</v>
      </c>
      <c r="E1611" s="250">
        <v>0.1</v>
      </c>
      <c r="F1611" s="176" t="s">
        <v>1053</v>
      </c>
      <c r="G1611" s="257">
        <v>19.313499999999998</v>
      </c>
      <c r="H1611" s="176" t="s">
        <v>55</v>
      </c>
      <c r="I1611" s="258">
        <f>IF(ISNUMBER(G1611),E1611*G1611,"")</f>
        <v>1.9313499999999999</v>
      </c>
      <c r="J1611" s="295">
        <f>SUM(I1611:I1612)</f>
        <v>3.50135</v>
      </c>
      <c r="K1611" s="29"/>
      <c r="L1611" s="174">
        <v>96</v>
      </c>
    </row>
    <row r="1612" spans="1:12" x14ac:dyDescent="0.25">
      <c r="A1612" s="291"/>
      <c r="B1612" s="292"/>
      <c r="C1612" s="105" t="s">
        <v>1054</v>
      </c>
      <c r="D1612" s="105" t="s">
        <v>32</v>
      </c>
      <c r="E1612" s="250">
        <v>1</v>
      </c>
      <c r="F1612" s="176" t="s">
        <v>1053</v>
      </c>
      <c r="G1612" s="258">
        <v>1.57</v>
      </c>
      <c r="H1612" s="176" t="s">
        <v>33</v>
      </c>
      <c r="I1612" s="257">
        <f>IF(ISNUMBER(G1612),E1612*G1612,"")</f>
        <v>1.57</v>
      </c>
      <c r="J1612" s="281"/>
      <c r="K1612" s="19"/>
      <c r="L1612" s="174">
        <v>96</v>
      </c>
    </row>
    <row r="1613" spans="1:12" ht="15.75" thickBot="1" x14ac:dyDescent="0.3">
      <c r="A1613" s="296"/>
      <c r="B1613" s="297"/>
      <c r="C1613" s="105"/>
      <c r="D1613" s="105"/>
      <c r="E1613" s="250"/>
      <c r="F1613" s="176"/>
      <c r="G1613" s="257" t="s">
        <v>1079</v>
      </c>
      <c r="H1613" s="176"/>
      <c r="I1613" s="257" t="str">
        <f>IF(ISNUMBER(G1613),E1613*G1613,"")</f>
        <v/>
      </c>
      <c r="J1613" s="281"/>
      <c r="K1613" s="19"/>
      <c r="L1613" s="174">
        <v>96</v>
      </c>
    </row>
    <row r="1614" spans="1:12" ht="15.75" hidden="1" thickBot="1" x14ac:dyDescent="0.3">
      <c r="A1614" s="180" t="s">
        <v>1055</v>
      </c>
      <c r="B1614" s="178" t="str">
        <f>INDEX(Orçamentária!A:B,MATCH(Composições!A1614,Orçamentária!A:A,0),2)</f>
        <v>Módulo interruptor paralelo</v>
      </c>
      <c r="C1614" s="30"/>
      <c r="D1614" s="13" t="str">
        <f>TRIM(INDEX(Orçamentária!C:C,MATCH(Composições!A1614,Orçamentária!A:A,0),1))</f>
        <v>un</v>
      </c>
      <c r="E1614" s="14"/>
      <c r="F1614" s="15" t="s">
        <v>1056</v>
      </c>
      <c r="G1614" s="31" t="s">
        <v>1079</v>
      </c>
      <c r="H1614" s="16"/>
      <c r="I1614" s="16" t="str">
        <f>IF(ISNUMBER(G1614),E1614*G1614,"")</f>
        <v/>
      </c>
      <c r="J1614" s="17"/>
      <c r="K1614" s="18"/>
      <c r="L1614" s="174">
        <v>0</v>
      </c>
    </row>
    <row r="1615" spans="1:12" ht="15.75" hidden="1" thickBot="1" x14ac:dyDescent="0.3">
      <c r="A1615" s="181"/>
      <c r="B1615" s="179"/>
      <c r="C1615" s="20"/>
      <c r="D1615" s="20"/>
      <c r="E1615" s="21"/>
      <c r="F1615" s="22"/>
      <c r="G1615" s="32" t="s">
        <v>1079</v>
      </c>
      <c r="H1615" s="20"/>
      <c r="I1615" s="19" t="str">
        <f>IF(ISNUMBER(G1615),E1615*G1615,"")</f>
        <v/>
      </c>
      <c r="J1615" s="24"/>
      <c r="K1615" s="19"/>
      <c r="L1615" s="174">
        <v>0</v>
      </c>
    </row>
    <row r="1616" spans="1:12" ht="15.75" hidden="1" thickBot="1" x14ac:dyDescent="0.3">
      <c r="A1616" s="181"/>
      <c r="B1616" s="179"/>
      <c r="C1616" s="25" t="s">
        <v>1057</v>
      </c>
      <c r="D1616" s="25" t="s">
        <v>32</v>
      </c>
      <c r="E1616" s="26">
        <v>1</v>
      </c>
      <c r="F1616" s="27" t="s">
        <v>1056</v>
      </c>
      <c r="G1616" s="23">
        <v>7.8659999999999988</v>
      </c>
      <c r="H1616" s="27" t="s">
        <v>1058</v>
      </c>
      <c r="I1616" s="19">
        <f>IF(ISNUMBER(G1616),E1616*G1616,"")</f>
        <v>7.8659999999999988</v>
      </c>
      <c r="J1616" s="28">
        <f>SUM(I1616:I1618)</f>
        <v>18.502009999999999</v>
      </c>
      <c r="K1616" s="29"/>
      <c r="L1616" s="174">
        <v>0</v>
      </c>
    </row>
    <row r="1617" spans="1:12" ht="15.75" hidden="1" thickBot="1" x14ac:dyDescent="0.3">
      <c r="A1617" s="181"/>
      <c r="B1617" s="179"/>
      <c r="C1617" s="25" t="s">
        <v>144</v>
      </c>
      <c r="D1617" s="25" t="s">
        <v>21</v>
      </c>
      <c r="E1617" s="26">
        <v>0.308</v>
      </c>
      <c r="F1617" s="27" t="s">
        <v>1056</v>
      </c>
      <c r="G1617" s="19">
        <v>15.218999999999999</v>
      </c>
      <c r="H1617" s="27" t="s">
        <v>145</v>
      </c>
      <c r="I1617" s="23">
        <f>IF(ISNUMBER(G1617),E1617*G1617,"")</f>
        <v>4.6874519999999995</v>
      </c>
      <c r="J1617" s="24"/>
      <c r="K1617" s="19"/>
      <c r="L1617" s="174">
        <v>0</v>
      </c>
    </row>
    <row r="1618" spans="1:12" ht="15.75" hidden="1" thickBot="1" x14ac:dyDescent="0.3">
      <c r="A1618" s="181"/>
      <c r="B1618" s="179"/>
      <c r="C1618" s="25" t="s">
        <v>54</v>
      </c>
      <c r="D1618" s="25" t="s">
        <v>21</v>
      </c>
      <c r="E1618" s="26">
        <v>0.308</v>
      </c>
      <c r="F1618" s="27" t="s">
        <v>1056</v>
      </c>
      <c r="G1618" s="19">
        <v>19.313499999999998</v>
      </c>
      <c r="H1618" s="27" t="s">
        <v>55</v>
      </c>
      <c r="I1618" s="23">
        <f>IF(ISNUMBER(G1618),E1618*G1618,"")</f>
        <v>5.9485579999999993</v>
      </c>
      <c r="J1618" s="24"/>
      <c r="K1618" s="19"/>
      <c r="L1618" s="174">
        <v>0</v>
      </c>
    </row>
    <row r="1619" spans="1:12" ht="15.75" hidden="1" thickBot="1" x14ac:dyDescent="0.3">
      <c r="A1619" s="182"/>
      <c r="B1619" s="183"/>
      <c r="C1619" s="25"/>
      <c r="D1619" s="25"/>
      <c r="E1619" s="26"/>
      <c r="F1619" s="27"/>
      <c r="G1619" s="19" t="s">
        <v>1079</v>
      </c>
      <c r="H1619" s="27"/>
      <c r="I1619" s="19" t="str">
        <f>IF(ISNUMBER(G1619),E1619*G1619,"")</f>
        <v/>
      </c>
      <c r="J1619" s="24"/>
      <c r="K1619" s="19"/>
      <c r="L1619" s="174">
        <v>0</v>
      </c>
    </row>
    <row r="1620" spans="1:12" ht="15.75" thickBot="1" x14ac:dyDescent="0.3">
      <c r="A1620" s="288" t="s">
        <v>1059</v>
      </c>
      <c r="B1620" s="289" t="str">
        <f>INDEX(Orçamentária!A:B,MATCH(Composições!A1620,Orçamentária!A:A,0),2)</f>
        <v>Módulo interruptor simples</v>
      </c>
      <c r="C1620" s="274"/>
      <c r="D1620" s="265" t="str">
        <f>TRIM(INDEX(Orçamentária!C:C,MATCH(Composições!A1620,Orçamentária!A:A,0),1))</f>
        <v>un</v>
      </c>
      <c r="E1620" s="290"/>
      <c r="F1620" s="259" t="s">
        <v>1060</v>
      </c>
      <c r="G1620" s="260" t="s">
        <v>1079</v>
      </c>
      <c r="H1620" s="261"/>
      <c r="I1620" s="261" t="str">
        <f>IF(ISNUMBER(G1620),E1620*G1620,"")</f>
        <v/>
      </c>
      <c r="J1620" s="280"/>
      <c r="K1620" s="18"/>
      <c r="L1620" s="174">
        <v>8</v>
      </c>
    </row>
    <row r="1621" spans="1:12" x14ac:dyDescent="0.25">
      <c r="A1621" s="291"/>
      <c r="B1621" s="292"/>
      <c r="C1621" s="155"/>
      <c r="D1621" s="155"/>
      <c r="E1621" s="293"/>
      <c r="F1621" s="294"/>
      <c r="G1621" s="262" t="s">
        <v>1079</v>
      </c>
      <c r="H1621" s="155"/>
      <c r="I1621" s="257" t="str">
        <f>IF(ISNUMBER(G1621),E1621*G1621,"")</f>
        <v/>
      </c>
      <c r="J1621" s="281"/>
      <c r="K1621" s="19"/>
      <c r="L1621" s="174">
        <v>8</v>
      </c>
    </row>
    <row r="1622" spans="1:12" x14ac:dyDescent="0.25">
      <c r="A1622" s="291"/>
      <c r="B1622" s="292"/>
      <c r="C1622" s="105" t="s">
        <v>1061</v>
      </c>
      <c r="D1622" s="105" t="s">
        <v>32</v>
      </c>
      <c r="E1622" s="250">
        <v>1</v>
      </c>
      <c r="F1622" s="176" t="s">
        <v>1060</v>
      </c>
      <c r="G1622" s="258">
        <v>6.0324999999999998</v>
      </c>
      <c r="H1622" s="176" t="s">
        <v>1062</v>
      </c>
      <c r="I1622" s="257">
        <f>IF(ISNUMBER(G1622),E1622*G1622,"")</f>
        <v>6.0324999999999998</v>
      </c>
      <c r="J1622" s="295">
        <f>SUM(I1622:I1624)</f>
        <v>13.802312499999999</v>
      </c>
      <c r="K1622" s="29"/>
      <c r="L1622" s="174">
        <v>8</v>
      </c>
    </row>
    <row r="1623" spans="1:12" x14ac:dyDescent="0.25">
      <c r="A1623" s="291"/>
      <c r="B1623" s="292"/>
      <c r="C1623" s="105" t="s">
        <v>144</v>
      </c>
      <c r="D1623" s="105" t="s">
        <v>21</v>
      </c>
      <c r="E1623" s="250">
        <v>0.22500000000000001</v>
      </c>
      <c r="F1623" s="176" t="s">
        <v>1060</v>
      </c>
      <c r="G1623" s="257">
        <v>15.218999999999999</v>
      </c>
      <c r="H1623" s="176" t="s">
        <v>145</v>
      </c>
      <c r="I1623" s="258">
        <f>IF(ISNUMBER(G1623),E1623*G1623,"")</f>
        <v>3.4242749999999997</v>
      </c>
      <c r="J1623" s="281"/>
      <c r="K1623" s="19"/>
      <c r="L1623" s="174">
        <v>8</v>
      </c>
    </row>
    <row r="1624" spans="1:12" x14ac:dyDescent="0.25">
      <c r="A1624" s="291"/>
      <c r="B1624" s="292"/>
      <c r="C1624" s="105" t="s">
        <v>54</v>
      </c>
      <c r="D1624" s="105" t="s">
        <v>21</v>
      </c>
      <c r="E1624" s="250">
        <v>0.22500000000000001</v>
      </c>
      <c r="F1624" s="176" t="s">
        <v>1060</v>
      </c>
      <c r="G1624" s="257">
        <v>19.313499999999998</v>
      </c>
      <c r="H1624" s="176" t="s">
        <v>55</v>
      </c>
      <c r="I1624" s="258">
        <f>IF(ISNUMBER(G1624),E1624*G1624,"")</f>
        <v>4.3455374999999998</v>
      </c>
      <c r="J1624" s="281"/>
      <c r="K1624" s="19"/>
      <c r="L1624" s="174">
        <v>8</v>
      </c>
    </row>
    <row r="1625" spans="1:12" ht="15.75" thickBot="1" x14ac:dyDescent="0.3">
      <c r="A1625" s="296"/>
      <c r="B1625" s="297"/>
      <c r="C1625" s="105"/>
      <c r="D1625" s="105"/>
      <c r="E1625" s="250"/>
      <c r="F1625" s="176"/>
      <c r="G1625" s="257" t="s">
        <v>1079</v>
      </c>
      <c r="H1625" s="176"/>
      <c r="I1625" s="257" t="str">
        <f>IF(ISNUMBER(G1625),E1625*G1625,"")</f>
        <v/>
      </c>
      <c r="J1625" s="281"/>
      <c r="K1625" s="19"/>
      <c r="L1625" s="174">
        <v>8</v>
      </c>
    </row>
    <row r="1626" spans="1:12" ht="15.75" thickBot="1" x14ac:dyDescent="0.3">
      <c r="A1626" s="288" t="s">
        <v>1063</v>
      </c>
      <c r="B1626" s="289" t="str">
        <f>INDEX(Orçamentária!A:B,MATCH(Composições!A1626,Orçamentária!A:A,0),2)</f>
        <v>Módulo para saída de fio</v>
      </c>
      <c r="C1626" s="274"/>
      <c r="D1626" s="265" t="str">
        <f>TRIM(INDEX(Orçamentária!C:C,MATCH(Composições!A1626,Orçamentária!A:A,0),1))</f>
        <v>un</v>
      </c>
      <c r="E1626" s="290"/>
      <c r="F1626" s="259" t="s">
        <v>1052</v>
      </c>
      <c r="G1626" s="260" t="s">
        <v>1079</v>
      </c>
      <c r="H1626" s="261"/>
      <c r="I1626" s="261" t="str">
        <f>IF(ISNUMBER(G1626),E1626*G1626,"")</f>
        <v/>
      </c>
      <c r="J1626" s="280"/>
      <c r="K1626" s="18"/>
      <c r="L1626" s="174">
        <v>3</v>
      </c>
    </row>
    <row r="1627" spans="1:12" x14ac:dyDescent="0.25">
      <c r="A1627" s="291"/>
      <c r="B1627" s="292"/>
      <c r="C1627" s="155"/>
      <c r="D1627" s="155"/>
      <c r="E1627" s="293"/>
      <c r="F1627" s="294"/>
      <c r="G1627" s="262" t="s">
        <v>1079</v>
      </c>
      <c r="H1627" s="155"/>
      <c r="I1627" s="257" t="str">
        <f>IF(ISNUMBER(G1627),E1627*G1627,"")</f>
        <v/>
      </c>
      <c r="J1627" s="281"/>
      <c r="K1627" s="19"/>
      <c r="L1627" s="174">
        <v>3</v>
      </c>
    </row>
    <row r="1628" spans="1:12" x14ac:dyDescent="0.25">
      <c r="A1628" s="291"/>
      <c r="B1628" s="292"/>
      <c r="C1628" s="105" t="s">
        <v>54</v>
      </c>
      <c r="D1628" s="105" t="s">
        <v>21</v>
      </c>
      <c r="E1628" s="250">
        <v>0.1</v>
      </c>
      <c r="F1628" s="176" t="s">
        <v>1053</v>
      </c>
      <c r="G1628" s="257">
        <v>19.313499999999998</v>
      </c>
      <c r="H1628" s="176" t="s">
        <v>55</v>
      </c>
      <c r="I1628" s="258">
        <f>IF(ISNUMBER(G1628),E1628*G1628,"")</f>
        <v>1.9313499999999999</v>
      </c>
      <c r="J1628" s="295">
        <f>SUM(I1628:I1629)</f>
        <v>3.6013500000000001</v>
      </c>
      <c r="K1628" s="29"/>
      <c r="L1628" s="174">
        <v>3</v>
      </c>
    </row>
    <row r="1629" spans="1:12" x14ac:dyDescent="0.25">
      <c r="A1629" s="291"/>
      <c r="B1629" s="292"/>
      <c r="C1629" s="105" t="s">
        <v>1064</v>
      </c>
      <c r="D1629" s="105" t="s">
        <v>32</v>
      </c>
      <c r="E1629" s="250">
        <v>1</v>
      </c>
      <c r="F1629" s="176" t="s">
        <v>1053</v>
      </c>
      <c r="G1629" s="258">
        <v>1.67</v>
      </c>
      <c r="H1629" s="176" t="s">
        <v>33</v>
      </c>
      <c r="I1629" s="257">
        <f>IF(ISNUMBER(G1629),E1629*G1629,"")</f>
        <v>1.67</v>
      </c>
      <c r="J1629" s="281"/>
      <c r="K1629" s="19"/>
      <c r="L1629" s="174">
        <v>3</v>
      </c>
    </row>
    <row r="1630" spans="1:12" ht="15.75" thickBot="1" x14ac:dyDescent="0.3">
      <c r="A1630" s="296"/>
      <c r="B1630" s="297"/>
      <c r="C1630" s="105"/>
      <c r="D1630" s="105"/>
      <c r="E1630" s="250"/>
      <c r="F1630" s="176"/>
      <c r="G1630" s="257" t="s">
        <v>1079</v>
      </c>
      <c r="H1630" s="176"/>
      <c r="I1630" s="257" t="str">
        <f>IF(ISNUMBER(G1630),E1630*G1630,"")</f>
        <v/>
      </c>
      <c r="J1630" s="281"/>
      <c r="K1630" s="19"/>
      <c r="L1630" s="174">
        <v>3</v>
      </c>
    </row>
    <row r="1631" spans="1:12" ht="15.75" thickBot="1" x14ac:dyDescent="0.3">
      <c r="A1631" s="288" t="s">
        <v>1065</v>
      </c>
      <c r="B1631" s="289" t="str">
        <f>INDEX(Orçamentária!A:B,MATCH(Composições!A1631,Orçamentária!A:A,0),2)</f>
        <v>Módulo sensor de presença</v>
      </c>
      <c r="C1631" s="274"/>
      <c r="D1631" s="265" t="str">
        <f>TRIM(INDEX(Orçamentária!C:C,MATCH(Composições!A1631,Orçamentária!A:A,0),1))</f>
        <v>un</v>
      </c>
      <c r="E1631" s="290"/>
      <c r="F1631" s="259" t="s">
        <v>1066</v>
      </c>
      <c r="G1631" s="260" t="s">
        <v>1079</v>
      </c>
      <c r="H1631" s="261"/>
      <c r="I1631" s="261" t="str">
        <f>IF(ISNUMBER(G1631),E1631*G1631,"")</f>
        <v/>
      </c>
      <c r="J1631" s="280"/>
      <c r="K1631" s="18"/>
      <c r="L1631" s="174">
        <v>3</v>
      </c>
    </row>
    <row r="1632" spans="1:12" x14ac:dyDescent="0.25">
      <c r="A1632" s="291"/>
      <c r="B1632" s="292"/>
      <c r="C1632" s="155"/>
      <c r="D1632" s="155"/>
      <c r="E1632" s="293"/>
      <c r="F1632" s="294"/>
      <c r="G1632" s="262" t="s">
        <v>1079</v>
      </c>
      <c r="H1632" s="155"/>
      <c r="I1632" s="257" t="str">
        <f>IF(ISNUMBER(G1632),E1632*G1632,"")</f>
        <v/>
      </c>
      <c r="J1632" s="281"/>
      <c r="K1632" s="19"/>
      <c r="L1632" s="174">
        <v>3</v>
      </c>
    </row>
    <row r="1633" spans="1:12" x14ac:dyDescent="0.25">
      <c r="A1633" s="291"/>
      <c r="B1633" s="292"/>
      <c r="C1633" s="105" t="s">
        <v>54</v>
      </c>
      <c r="D1633" s="105" t="s">
        <v>21</v>
      </c>
      <c r="E1633" s="250">
        <v>0.308</v>
      </c>
      <c r="F1633" s="176" t="s">
        <v>1056</v>
      </c>
      <c r="G1633" s="257">
        <v>19.313499999999998</v>
      </c>
      <c r="H1633" s="176" t="s">
        <v>55</v>
      </c>
      <c r="I1633" s="258">
        <f>IF(ISNUMBER(G1633),E1633*G1633,"")</f>
        <v>5.9485579999999993</v>
      </c>
      <c r="J1633" s="295">
        <f>SUM(I1633:I1635)</f>
        <v>114.11601</v>
      </c>
      <c r="K1633" s="29"/>
      <c r="L1633" s="174">
        <v>3</v>
      </c>
    </row>
    <row r="1634" spans="1:12" x14ac:dyDescent="0.25">
      <c r="A1634" s="291"/>
      <c r="B1634" s="292"/>
      <c r="C1634" s="105" t="s">
        <v>144</v>
      </c>
      <c r="D1634" s="105" t="s">
        <v>21</v>
      </c>
      <c r="E1634" s="250">
        <v>0.308</v>
      </c>
      <c r="F1634" s="176" t="s">
        <v>1056</v>
      </c>
      <c r="G1634" s="257">
        <v>15.218999999999999</v>
      </c>
      <c r="H1634" s="176" t="s">
        <v>145</v>
      </c>
      <c r="I1634" s="258">
        <f>IF(ISNUMBER(G1634),E1634*G1634,"")</f>
        <v>4.6874519999999995</v>
      </c>
      <c r="J1634" s="282"/>
      <c r="K1634" s="35"/>
      <c r="L1634" s="174">
        <v>3</v>
      </c>
    </row>
    <row r="1635" spans="1:12" x14ac:dyDescent="0.25">
      <c r="A1635" s="291"/>
      <c r="B1635" s="292"/>
      <c r="C1635" s="105" t="s">
        <v>1067</v>
      </c>
      <c r="D1635" s="105" t="s">
        <v>32</v>
      </c>
      <c r="E1635" s="250">
        <v>1</v>
      </c>
      <c r="F1635" s="176" t="s">
        <v>17</v>
      </c>
      <c r="G1635" s="258">
        <v>103.48</v>
      </c>
      <c r="H1635" s="176" t="s">
        <v>33</v>
      </c>
      <c r="I1635" s="257">
        <f>IF(ISNUMBER(G1635),E1635*G1635,"")</f>
        <v>103.48</v>
      </c>
      <c r="J1635" s="281"/>
      <c r="K1635" s="19"/>
      <c r="L1635" s="174">
        <v>3</v>
      </c>
    </row>
    <row r="1636" spans="1:12" ht="15.75" thickBot="1" x14ac:dyDescent="0.3">
      <c r="A1636" s="296"/>
      <c r="B1636" s="297"/>
      <c r="C1636" s="304"/>
      <c r="D1636" s="105"/>
      <c r="E1636" s="250"/>
      <c r="F1636" s="176"/>
      <c r="G1636" s="257" t="s">
        <v>1079</v>
      </c>
      <c r="H1636" s="176"/>
      <c r="I1636" s="257" t="str">
        <f>IF(ISNUMBER(G1636),E1636*G1636,"")</f>
        <v/>
      </c>
      <c r="J1636" s="281"/>
      <c r="K1636" s="19"/>
      <c r="L1636" s="174">
        <v>3</v>
      </c>
    </row>
    <row r="1637" spans="1:12" ht="15.75" thickBot="1" x14ac:dyDescent="0.3">
      <c r="A1637" s="288" t="s">
        <v>1068</v>
      </c>
      <c r="B1637" s="289" t="str">
        <f>INDEX(Orçamentária!A:B,MATCH(Composições!A1637,Orçamentária!A:A,0),2)</f>
        <v>Módulo tomada 10 A</v>
      </c>
      <c r="C1637" s="274"/>
      <c r="D1637" s="265" t="str">
        <f>TRIM(INDEX(Orçamentária!C:C,MATCH(Composições!A1637,Orçamentária!A:A,0),1))</f>
        <v>un</v>
      </c>
      <c r="E1637" s="290"/>
      <c r="F1637" s="259" t="s">
        <v>1069</v>
      </c>
      <c r="G1637" s="260" t="s">
        <v>1079</v>
      </c>
      <c r="H1637" s="261"/>
      <c r="I1637" s="261" t="str">
        <f>IF(ISNUMBER(G1637),E1637*G1637,"")</f>
        <v/>
      </c>
      <c r="J1637" s="280"/>
      <c r="K1637" s="18"/>
      <c r="L1637" s="174">
        <v>17</v>
      </c>
    </row>
    <row r="1638" spans="1:12" x14ac:dyDescent="0.25">
      <c r="A1638" s="291"/>
      <c r="B1638" s="292"/>
      <c r="C1638" s="155"/>
      <c r="D1638" s="155"/>
      <c r="E1638" s="293"/>
      <c r="F1638" s="294"/>
      <c r="G1638" s="262" t="s">
        <v>1079</v>
      </c>
      <c r="H1638" s="155"/>
      <c r="I1638" s="257" t="str">
        <f>IF(ISNUMBER(G1638),E1638*G1638,"")</f>
        <v/>
      </c>
      <c r="J1638" s="281"/>
      <c r="K1638" s="19"/>
      <c r="L1638" s="174">
        <v>17</v>
      </c>
    </row>
    <row r="1639" spans="1:12" x14ac:dyDescent="0.25">
      <c r="A1639" s="291"/>
      <c r="B1639" s="292"/>
      <c r="C1639" s="105" t="s">
        <v>1070</v>
      </c>
      <c r="D1639" s="105" t="s">
        <v>32</v>
      </c>
      <c r="E1639" s="250">
        <v>1</v>
      </c>
      <c r="F1639" s="176" t="s">
        <v>1069</v>
      </c>
      <c r="G1639" s="258">
        <v>6.8685</v>
      </c>
      <c r="H1639" s="176" t="s">
        <v>1071</v>
      </c>
      <c r="I1639" s="257">
        <f>IF(ISNUMBER(G1639),E1639*G1639,"")</f>
        <v>6.8685</v>
      </c>
      <c r="J1639" s="295">
        <f>SUM(I1639:I1641)</f>
        <v>14.983637499999999</v>
      </c>
      <c r="K1639" s="29"/>
      <c r="L1639" s="174">
        <v>17</v>
      </c>
    </row>
    <row r="1640" spans="1:12" x14ac:dyDescent="0.25">
      <c r="A1640" s="291"/>
      <c r="B1640" s="292"/>
      <c r="C1640" s="105" t="s">
        <v>144</v>
      </c>
      <c r="D1640" s="105" t="s">
        <v>21</v>
      </c>
      <c r="E1640" s="250">
        <v>0.23499999999999999</v>
      </c>
      <c r="F1640" s="176" t="s">
        <v>1069</v>
      </c>
      <c r="G1640" s="257">
        <v>15.218999999999999</v>
      </c>
      <c r="H1640" s="176" t="s">
        <v>145</v>
      </c>
      <c r="I1640" s="258">
        <f>IF(ISNUMBER(G1640),E1640*G1640,"")</f>
        <v>3.5764649999999998</v>
      </c>
      <c r="J1640" s="281"/>
      <c r="K1640" s="19"/>
      <c r="L1640" s="174">
        <v>17</v>
      </c>
    </row>
    <row r="1641" spans="1:12" x14ac:dyDescent="0.25">
      <c r="A1641" s="291"/>
      <c r="B1641" s="292"/>
      <c r="C1641" s="105" t="s">
        <v>54</v>
      </c>
      <c r="D1641" s="105" t="s">
        <v>21</v>
      </c>
      <c r="E1641" s="250">
        <v>0.23499999999999999</v>
      </c>
      <c r="F1641" s="176" t="s">
        <v>1069</v>
      </c>
      <c r="G1641" s="257">
        <v>19.313499999999998</v>
      </c>
      <c r="H1641" s="176" t="s">
        <v>55</v>
      </c>
      <c r="I1641" s="258">
        <f>IF(ISNUMBER(G1641),E1641*G1641,"")</f>
        <v>4.5386724999999988</v>
      </c>
      <c r="J1641" s="281"/>
      <c r="K1641" s="19"/>
      <c r="L1641" s="174">
        <v>17</v>
      </c>
    </row>
    <row r="1642" spans="1:12" ht="15.75" thickBot="1" x14ac:dyDescent="0.3">
      <c r="A1642" s="296"/>
      <c r="B1642" s="297"/>
      <c r="C1642" s="105"/>
      <c r="D1642" s="105"/>
      <c r="E1642" s="250"/>
      <c r="F1642" s="176"/>
      <c r="G1642" s="257" t="s">
        <v>1079</v>
      </c>
      <c r="H1642" s="176"/>
      <c r="I1642" s="257" t="str">
        <f>IF(ISNUMBER(G1642),E1642*G1642,"")</f>
        <v/>
      </c>
      <c r="J1642" s="281"/>
      <c r="K1642" s="19"/>
      <c r="L1642" s="174">
        <v>17</v>
      </c>
    </row>
    <row r="1643" spans="1:12" ht="15.75" thickBot="1" x14ac:dyDescent="0.3">
      <c r="A1643" s="288" t="s">
        <v>1072</v>
      </c>
      <c r="B1643" s="289" t="str">
        <f>INDEX(Orçamentária!A:B,MATCH(Composições!A1643,Orçamentária!A:A,0),2)</f>
        <v>Módulo tomada 20 A</v>
      </c>
      <c r="C1643" s="274"/>
      <c r="D1643" s="265" t="str">
        <f>TRIM(INDEX(Orçamentária!C:C,MATCH(Composições!A1643,Orçamentária!A:A,0),1))</f>
        <v>un</v>
      </c>
      <c r="E1643" s="290"/>
      <c r="F1643" s="259" t="s">
        <v>1073</v>
      </c>
      <c r="G1643" s="260" t="s">
        <v>1079</v>
      </c>
      <c r="H1643" s="261"/>
      <c r="I1643" s="261" t="str">
        <f>IF(ISNUMBER(G1643),E1643*G1643,"")</f>
        <v/>
      </c>
      <c r="J1643" s="280"/>
      <c r="K1643" s="18"/>
      <c r="L1643" s="174">
        <v>13</v>
      </c>
    </row>
    <row r="1644" spans="1:12" x14ac:dyDescent="0.25">
      <c r="A1644" s="291"/>
      <c r="B1644" s="292"/>
      <c r="C1644" s="155"/>
      <c r="D1644" s="155"/>
      <c r="E1644" s="293"/>
      <c r="F1644" s="294"/>
      <c r="G1644" s="262" t="s">
        <v>1079</v>
      </c>
      <c r="H1644" s="155"/>
      <c r="I1644" s="257" t="str">
        <f>IF(ISNUMBER(G1644),E1644*G1644,"")</f>
        <v/>
      </c>
      <c r="J1644" s="281"/>
      <c r="K1644" s="19"/>
      <c r="L1644" s="174">
        <v>13</v>
      </c>
    </row>
    <row r="1645" spans="1:12" x14ac:dyDescent="0.25">
      <c r="A1645" s="291"/>
      <c r="B1645" s="292"/>
      <c r="C1645" s="105" t="s">
        <v>1074</v>
      </c>
      <c r="D1645" s="105" t="s">
        <v>32</v>
      </c>
      <c r="E1645" s="250">
        <v>1</v>
      </c>
      <c r="F1645" s="176" t="s">
        <v>1069</v>
      </c>
      <c r="G1645" s="258">
        <v>8.7874999999999996</v>
      </c>
      <c r="H1645" s="176" t="s">
        <v>1075</v>
      </c>
      <c r="I1645" s="257">
        <f>IF(ISNUMBER(G1645),E1645*G1645,"")</f>
        <v>8.7874999999999996</v>
      </c>
      <c r="J1645" s="295">
        <f>SUM(I1645:I1647)</f>
        <v>16.902637499999997</v>
      </c>
      <c r="K1645" s="29"/>
      <c r="L1645" s="174">
        <v>13</v>
      </c>
    </row>
    <row r="1646" spans="1:12" x14ac:dyDescent="0.25">
      <c r="A1646" s="291"/>
      <c r="B1646" s="292"/>
      <c r="C1646" s="105" t="s">
        <v>144</v>
      </c>
      <c r="D1646" s="105" t="s">
        <v>21</v>
      </c>
      <c r="E1646" s="250">
        <v>0.23499999999999999</v>
      </c>
      <c r="F1646" s="176" t="s">
        <v>1069</v>
      </c>
      <c r="G1646" s="257">
        <v>15.218999999999999</v>
      </c>
      <c r="H1646" s="176" t="s">
        <v>145</v>
      </c>
      <c r="I1646" s="258">
        <f>IF(ISNUMBER(G1646),E1646*G1646,"")</f>
        <v>3.5764649999999998</v>
      </c>
      <c r="J1646" s="281"/>
      <c r="K1646" s="19"/>
      <c r="L1646" s="174">
        <v>13</v>
      </c>
    </row>
    <row r="1647" spans="1:12" x14ac:dyDescent="0.25">
      <c r="A1647" s="291"/>
      <c r="B1647" s="292"/>
      <c r="C1647" s="105" t="s">
        <v>54</v>
      </c>
      <c r="D1647" s="105" t="s">
        <v>21</v>
      </c>
      <c r="E1647" s="250">
        <v>0.23499999999999999</v>
      </c>
      <c r="F1647" s="176" t="s">
        <v>1069</v>
      </c>
      <c r="G1647" s="257">
        <v>19.313499999999998</v>
      </c>
      <c r="H1647" s="176" t="s">
        <v>55</v>
      </c>
      <c r="I1647" s="258">
        <f>IF(ISNUMBER(G1647),E1647*G1647,"")</f>
        <v>4.5386724999999988</v>
      </c>
      <c r="J1647" s="281"/>
      <c r="K1647" s="19"/>
      <c r="L1647" s="174">
        <v>13</v>
      </c>
    </row>
    <row r="1648" spans="1:12" ht="15.75" thickBot="1" x14ac:dyDescent="0.3">
      <c r="A1648" s="296"/>
      <c r="B1648" s="297"/>
      <c r="C1648" s="105"/>
      <c r="D1648" s="105"/>
      <c r="E1648" s="250"/>
      <c r="F1648" s="176"/>
      <c r="G1648" s="257" t="s">
        <v>1079</v>
      </c>
      <c r="H1648" s="176"/>
      <c r="I1648" s="257" t="str">
        <f>IF(ISNUMBER(G1648),E1648*G1648,"")</f>
        <v/>
      </c>
      <c r="J1648" s="281"/>
      <c r="K1648" s="19"/>
      <c r="L1648" s="174">
        <v>13</v>
      </c>
    </row>
    <row r="1649" spans="1:12" ht="15.75" hidden="1" thickBot="1" x14ac:dyDescent="0.3">
      <c r="A1649" s="180" t="s">
        <v>1076</v>
      </c>
      <c r="B1649" s="178" t="str">
        <f>INDEX(Orçamentária!A:B,MATCH(Composições!A1649,Orçamentária!A:A,0),2)</f>
        <v>Porta equipamentos para canaleta de alumínio aparente</v>
      </c>
      <c r="C1649" s="30"/>
      <c r="D1649" s="13" t="str">
        <f>TRIM(INDEX(Orçamentária!C:C,MATCH(Composições!A1649,Orçamentária!A:A,0),1))</f>
        <v>un</v>
      </c>
      <c r="E1649" s="14"/>
      <c r="F1649" s="15" t="s">
        <v>1077</v>
      </c>
      <c r="G1649" s="31" t="s">
        <v>1079</v>
      </c>
      <c r="H1649" s="16"/>
      <c r="I1649" s="16" t="str">
        <f>IF(ISNUMBER(G1649),E1649*G1649,"")</f>
        <v/>
      </c>
      <c r="J1649" s="17"/>
      <c r="K1649" s="18"/>
      <c r="L1649" s="174">
        <v>0</v>
      </c>
    </row>
    <row r="1650" spans="1:12" ht="15.75" hidden="1" thickBot="1" x14ac:dyDescent="0.3">
      <c r="A1650" s="181"/>
      <c r="B1650" s="179"/>
      <c r="C1650" s="20"/>
      <c r="D1650" s="20"/>
      <c r="E1650" s="21"/>
      <c r="F1650" s="22"/>
      <c r="G1650" s="32" t="s">
        <v>1079</v>
      </c>
      <c r="H1650" s="20"/>
      <c r="I1650" s="19" t="str">
        <f>IF(ISNUMBER(G1650),E1650*G1650,"")</f>
        <v/>
      </c>
      <c r="J1650" s="24"/>
      <c r="K1650" s="19"/>
      <c r="L1650" s="174">
        <v>0</v>
      </c>
    </row>
    <row r="1651" spans="1:12" ht="15.75" hidden="1" thickBot="1" x14ac:dyDescent="0.3">
      <c r="A1651" s="181"/>
      <c r="B1651" s="179"/>
      <c r="C1651" s="25" t="s">
        <v>144</v>
      </c>
      <c r="D1651" s="25" t="s">
        <v>21</v>
      </c>
      <c r="E1651" s="26">
        <f>0.35/2</f>
        <v>0.17499999999999999</v>
      </c>
      <c r="F1651" s="27" t="s">
        <v>1078</v>
      </c>
      <c r="G1651" s="19">
        <v>15.218999999999999</v>
      </c>
      <c r="H1651" s="27" t="s">
        <v>145</v>
      </c>
      <c r="I1651" s="23">
        <f>IF(ISNUMBER(G1651),E1651*G1651,"")</f>
        <v>2.6633249999999999</v>
      </c>
      <c r="J1651" s="28">
        <f>SUM(I1651:I1653)</f>
        <v>6.0431874999999993</v>
      </c>
      <c r="K1651" s="29"/>
      <c r="L1651" s="174">
        <v>0</v>
      </c>
    </row>
    <row r="1652" spans="1:12" ht="15.75" hidden="1" thickBot="1" x14ac:dyDescent="0.3">
      <c r="A1652" s="181"/>
      <c r="B1652" s="179"/>
      <c r="C1652" s="25" t="s">
        <v>54</v>
      </c>
      <c r="D1652" s="25" t="s">
        <v>21</v>
      </c>
      <c r="E1652" s="26">
        <f>0.35/2</f>
        <v>0.17499999999999999</v>
      </c>
      <c r="F1652" s="27" t="s">
        <v>1078</v>
      </c>
      <c r="G1652" s="19">
        <v>19.313499999999998</v>
      </c>
      <c r="H1652" s="27" t="s">
        <v>55</v>
      </c>
      <c r="I1652" s="23">
        <f>IF(ISNUMBER(G1652),E1652*G1652,"")</f>
        <v>3.3798624999999993</v>
      </c>
      <c r="J1652" s="57" t="s">
        <v>1079</v>
      </c>
      <c r="K1652" s="58"/>
      <c r="L1652" s="174">
        <v>0</v>
      </c>
    </row>
    <row r="1653" spans="1:12" ht="15.75" hidden="1" thickBot="1" x14ac:dyDescent="0.3">
      <c r="A1653" s="181"/>
      <c r="B1653" s="179"/>
      <c r="C1653" s="25" t="s">
        <v>1080</v>
      </c>
      <c r="D1653" s="25" t="s">
        <v>32</v>
      </c>
      <c r="E1653" s="26">
        <v>1</v>
      </c>
      <c r="F1653" s="27" t="s">
        <v>1078</v>
      </c>
      <c r="G1653" s="23" t="s">
        <v>1079</v>
      </c>
      <c r="H1653" s="27" t="s">
        <v>33</v>
      </c>
      <c r="I1653" s="23" t="str">
        <f>IF(ISNUMBER(G1653),E1653*G1653,"")</f>
        <v/>
      </c>
      <c r="J1653" s="24"/>
      <c r="K1653" s="19"/>
      <c r="L1653" s="174">
        <v>0</v>
      </c>
    </row>
    <row r="1654" spans="1:12" ht="15.75" hidden="1" thickBot="1" x14ac:dyDescent="0.3">
      <c r="A1654" s="182"/>
      <c r="B1654" s="183"/>
      <c r="C1654" s="25"/>
      <c r="D1654" s="25"/>
      <c r="E1654" s="26"/>
      <c r="F1654" s="27"/>
      <c r="G1654" s="19" t="s">
        <v>1079</v>
      </c>
      <c r="H1654" s="27"/>
      <c r="I1654" s="19" t="str">
        <f>IF(ISNUMBER(G1654),E1654*G1654,"")</f>
        <v/>
      </c>
      <c r="J1654" s="24"/>
      <c r="K1654" s="19"/>
      <c r="L1654" s="174">
        <v>0</v>
      </c>
    </row>
    <row r="1655" spans="1:12" ht="15.75" hidden="1" thickBot="1" x14ac:dyDescent="0.3">
      <c r="A1655" s="180" t="s">
        <v>1081</v>
      </c>
      <c r="B1655" s="178" t="str">
        <f>INDEX(Orçamentária!A:B,MATCH(Composições!A1655,Orçamentária!A:A,0),2)</f>
        <v>Tampa cega metálica para caixas de piso 4x2</v>
      </c>
      <c r="C1655" s="30"/>
      <c r="D1655" s="13" t="str">
        <f>TRIM(INDEX(Orçamentária!C:C,MATCH(Composições!A1655,Orçamentária!A:A,0),1))</f>
        <v>un</v>
      </c>
      <c r="E1655" s="14"/>
      <c r="F1655" s="15" t="s">
        <v>1052</v>
      </c>
      <c r="G1655" s="31" t="s">
        <v>1079</v>
      </c>
      <c r="H1655" s="16"/>
      <c r="I1655" s="16" t="str">
        <f>IF(ISNUMBER(G1655),E1655*G1655,"")</f>
        <v/>
      </c>
      <c r="J1655" s="17"/>
      <c r="K1655" s="18"/>
      <c r="L1655" s="174">
        <v>0</v>
      </c>
    </row>
    <row r="1656" spans="1:12" ht="15.75" hidden="1" thickBot="1" x14ac:dyDescent="0.3">
      <c r="A1656" s="181"/>
      <c r="B1656" s="179"/>
      <c r="C1656" s="20"/>
      <c r="D1656" s="20"/>
      <c r="E1656" s="21"/>
      <c r="F1656" s="22"/>
      <c r="G1656" s="32" t="s">
        <v>1079</v>
      </c>
      <c r="H1656" s="20"/>
      <c r="I1656" s="19" t="str">
        <f>IF(ISNUMBER(G1656),E1656*G1656,"")</f>
        <v/>
      </c>
      <c r="J1656" s="24"/>
      <c r="K1656" s="19"/>
      <c r="L1656" s="174">
        <v>0</v>
      </c>
    </row>
    <row r="1657" spans="1:12" ht="15.75" hidden="1" thickBot="1" x14ac:dyDescent="0.3">
      <c r="A1657" s="181"/>
      <c r="B1657" s="179"/>
      <c r="C1657" s="25" t="s">
        <v>144</v>
      </c>
      <c r="D1657" s="25" t="s">
        <v>21</v>
      </c>
      <c r="E1657" s="26">
        <v>0.1</v>
      </c>
      <c r="F1657" s="27" t="s">
        <v>1052</v>
      </c>
      <c r="G1657" s="19">
        <v>15.218999999999999</v>
      </c>
      <c r="H1657" s="27" t="s">
        <v>145</v>
      </c>
      <c r="I1657" s="19">
        <f>IF(ISNUMBER(G1657),E1657*G1657,"")</f>
        <v>1.5219</v>
      </c>
      <c r="J1657" s="28">
        <f>SUM(I1657:I1658)</f>
        <v>1.5219</v>
      </c>
      <c r="K1657" s="29"/>
      <c r="L1657" s="174">
        <v>0</v>
      </c>
    </row>
    <row r="1658" spans="1:12" ht="15.75" hidden="1" thickBot="1" x14ac:dyDescent="0.3">
      <c r="A1658" s="181"/>
      <c r="B1658" s="179"/>
      <c r="C1658" s="25" t="s">
        <v>1082</v>
      </c>
      <c r="D1658" s="25" t="s">
        <v>32</v>
      </c>
      <c r="E1658" s="26">
        <v>1</v>
      </c>
      <c r="F1658" s="27" t="s">
        <v>1053</v>
      </c>
      <c r="G1658" s="23" t="s">
        <v>1079</v>
      </c>
      <c r="H1658" s="27" t="s">
        <v>33</v>
      </c>
      <c r="I1658" s="19" t="str">
        <f>IF(ISNUMBER(G1658),E1658*G1658,"")</f>
        <v/>
      </c>
      <c r="J1658" s="24"/>
      <c r="K1658" s="19"/>
      <c r="L1658" s="174">
        <v>0</v>
      </c>
    </row>
    <row r="1659" spans="1:12" ht="15.75" hidden="1" thickBot="1" x14ac:dyDescent="0.3">
      <c r="A1659" s="182"/>
      <c r="B1659" s="183"/>
      <c r="C1659" s="25"/>
      <c r="D1659" s="25"/>
      <c r="E1659" s="26"/>
      <c r="F1659" s="27"/>
      <c r="G1659" s="19" t="s">
        <v>1079</v>
      </c>
      <c r="H1659" s="27"/>
      <c r="I1659" s="19" t="str">
        <f>IF(ISNUMBER(G1659),E1659*G1659,"")</f>
        <v/>
      </c>
      <c r="J1659" s="24"/>
      <c r="K1659" s="19"/>
      <c r="L1659" s="174">
        <v>0</v>
      </c>
    </row>
    <row r="1660" spans="1:12" ht="15.75" hidden="1" thickBot="1" x14ac:dyDescent="0.3">
      <c r="A1660" s="180" t="s">
        <v>1083</v>
      </c>
      <c r="B1660" s="178" t="str">
        <f>INDEX(Orçamentária!A:B,MATCH(Composições!A1660,Orçamentária!A:A,0),2)</f>
        <v>Tampa cega metálica para caixas de piso 4x4</v>
      </c>
      <c r="C1660" s="30"/>
      <c r="D1660" s="13" t="str">
        <f>TRIM(INDEX(Orçamentária!C:C,MATCH(Composições!A1660,Orçamentária!A:A,0),1))</f>
        <v>un</v>
      </c>
      <c r="E1660" s="14"/>
      <c r="F1660" s="15" t="s">
        <v>1052</v>
      </c>
      <c r="G1660" s="31" t="s">
        <v>1079</v>
      </c>
      <c r="H1660" s="16"/>
      <c r="I1660" s="16" t="str">
        <f>IF(ISNUMBER(G1660),E1660*G1660,"")</f>
        <v/>
      </c>
      <c r="J1660" s="17"/>
      <c r="K1660" s="18"/>
      <c r="L1660" s="174">
        <v>0</v>
      </c>
    </row>
    <row r="1661" spans="1:12" ht="15.75" hidden="1" thickBot="1" x14ac:dyDescent="0.3">
      <c r="A1661" s="181"/>
      <c r="B1661" s="179"/>
      <c r="C1661" s="20"/>
      <c r="D1661" s="20"/>
      <c r="E1661" s="21"/>
      <c r="F1661" s="22"/>
      <c r="G1661" s="32" t="s">
        <v>1079</v>
      </c>
      <c r="H1661" s="20"/>
      <c r="I1661" s="19" t="str">
        <f>IF(ISNUMBER(G1661),E1661*G1661,"")</f>
        <v/>
      </c>
      <c r="J1661" s="24"/>
      <c r="K1661" s="19"/>
      <c r="L1661" s="174">
        <v>0</v>
      </c>
    </row>
    <row r="1662" spans="1:12" ht="15.75" hidden="1" thickBot="1" x14ac:dyDescent="0.3">
      <c r="A1662" s="181"/>
      <c r="B1662" s="179"/>
      <c r="C1662" s="25" t="s">
        <v>144</v>
      </c>
      <c r="D1662" s="25" t="s">
        <v>21</v>
      </c>
      <c r="E1662" s="26">
        <v>0.1</v>
      </c>
      <c r="F1662" s="27" t="s">
        <v>1052</v>
      </c>
      <c r="G1662" s="19">
        <v>15.218999999999999</v>
      </c>
      <c r="H1662" s="27" t="s">
        <v>145</v>
      </c>
      <c r="I1662" s="19">
        <f>IF(ISNUMBER(G1662),E1662*G1662,"")</f>
        <v>1.5219</v>
      </c>
      <c r="J1662" s="28">
        <f>SUM(I1662:I1663)</f>
        <v>1.5219</v>
      </c>
      <c r="K1662" s="29"/>
      <c r="L1662" s="174">
        <v>0</v>
      </c>
    </row>
    <row r="1663" spans="1:12" ht="15.75" hidden="1" thickBot="1" x14ac:dyDescent="0.3">
      <c r="A1663" s="181"/>
      <c r="B1663" s="179"/>
      <c r="C1663" s="25" t="s">
        <v>1084</v>
      </c>
      <c r="D1663" s="25" t="s">
        <v>32</v>
      </c>
      <c r="E1663" s="26">
        <v>1</v>
      </c>
      <c r="F1663" s="27" t="s">
        <v>1053</v>
      </c>
      <c r="G1663" s="23" t="s">
        <v>1079</v>
      </c>
      <c r="H1663" s="27" t="s">
        <v>33</v>
      </c>
      <c r="I1663" s="19" t="str">
        <f>IF(ISNUMBER(G1663),E1663*G1663,"")</f>
        <v/>
      </c>
      <c r="J1663" s="24"/>
      <c r="K1663" s="19"/>
      <c r="L1663" s="174">
        <v>0</v>
      </c>
    </row>
    <row r="1664" spans="1:12" ht="15.75" hidden="1" thickBot="1" x14ac:dyDescent="0.3">
      <c r="A1664" s="182"/>
      <c r="B1664" s="183"/>
      <c r="C1664" s="25"/>
      <c r="D1664" s="25"/>
      <c r="E1664" s="26"/>
      <c r="F1664" s="27"/>
      <c r="G1664" s="19" t="s">
        <v>1079</v>
      </c>
      <c r="H1664" s="27"/>
      <c r="I1664" s="19" t="str">
        <f>IF(ISNUMBER(G1664),E1664*G1664,"")</f>
        <v/>
      </c>
      <c r="J1664" s="24"/>
      <c r="K1664" s="19"/>
      <c r="L1664" s="174">
        <v>0</v>
      </c>
    </row>
    <row r="1665" spans="1:12" ht="15.75" hidden="1" thickBot="1" x14ac:dyDescent="0.3">
      <c r="A1665" s="180" t="s">
        <v>1085</v>
      </c>
      <c r="B1665" s="178" t="str">
        <f>INDEX(Orçamentária!A:B,MATCH(Composições!A1665,Orçamentária!A:A,0),2)</f>
        <v>Tampa cega para condulete</v>
      </c>
      <c r="C1665" s="30"/>
      <c r="D1665" s="13" t="str">
        <f>TRIM(INDEX(Orçamentária!C:C,MATCH(Composições!A1665,Orçamentária!A:A,0),1))</f>
        <v>un</v>
      </c>
      <c r="E1665" s="14"/>
      <c r="F1665" s="15" t="s">
        <v>1086</v>
      </c>
      <c r="G1665" s="31" t="s">
        <v>1079</v>
      </c>
      <c r="H1665" s="16"/>
      <c r="I1665" s="16" t="str">
        <f>IF(ISNUMBER(G1665),E1665*G1665,"")</f>
        <v/>
      </c>
      <c r="J1665" s="17"/>
      <c r="K1665" s="18"/>
      <c r="L1665" s="174">
        <v>0</v>
      </c>
    </row>
    <row r="1666" spans="1:12" ht="15.75" hidden="1" thickBot="1" x14ac:dyDescent="0.3">
      <c r="A1666" s="181"/>
      <c r="B1666" s="179"/>
      <c r="C1666" s="20"/>
      <c r="D1666" s="20"/>
      <c r="E1666" s="21"/>
      <c r="F1666" s="22"/>
      <c r="G1666" s="32" t="s">
        <v>1079</v>
      </c>
      <c r="H1666" s="20"/>
      <c r="I1666" s="19" t="str">
        <f>IF(ISNUMBER(G1666),E1666*G1666,"")</f>
        <v/>
      </c>
      <c r="J1666" s="24"/>
      <c r="K1666" s="19"/>
      <c r="L1666" s="174">
        <v>0</v>
      </c>
    </row>
    <row r="1667" spans="1:12" ht="15.75" hidden="1" thickBot="1" x14ac:dyDescent="0.3">
      <c r="A1667" s="181"/>
      <c r="B1667" s="179"/>
      <c r="C1667" s="25" t="s">
        <v>144</v>
      </c>
      <c r="D1667" s="25" t="s">
        <v>21</v>
      </c>
      <c r="E1667" s="26">
        <v>0.15</v>
      </c>
      <c r="F1667" s="27" t="s">
        <v>1086</v>
      </c>
      <c r="G1667" s="19">
        <v>15.218999999999999</v>
      </c>
      <c r="H1667" s="27" t="s">
        <v>145</v>
      </c>
      <c r="I1667" s="23">
        <f>IF(ISNUMBER(G1667),E1667*G1667,"")</f>
        <v>2.2828499999999998</v>
      </c>
      <c r="J1667" s="28">
        <f>SUM(I1667:I1668)</f>
        <v>2.2828499999999998</v>
      </c>
      <c r="K1667" s="29"/>
      <c r="L1667" s="174">
        <v>0</v>
      </c>
    </row>
    <row r="1668" spans="1:12" ht="26.25" hidden="1" thickBot="1" x14ac:dyDescent="0.3">
      <c r="A1668" s="181"/>
      <c r="B1668" s="179"/>
      <c r="C1668" s="25" t="s">
        <v>1087</v>
      </c>
      <c r="D1668" s="25" t="s">
        <v>32</v>
      </c>
      <c r="E1668" s="26">
        <v>1</v>
      </c>
      <c r="F1668" s="27" t="s">
        <v>1086</v>
      </c>
      <c r="G1668" s="23" t="s">
        <v>1079</v>
      </c>
      <c r="H1668" s="27" t="s">
        <v>33</v>
      </c>
      <c r="I1668" s="19" t="str">
        <f>IF(ISNUMBER(G1668),E1668*G1668,"")</f>
        <v/>
      </c>
      <c r="J1668" s="24"/>
      <c r="K1668" s="19"/>
      <c r="L1668" s="174">
        <v>0</v>
      </c>
    </row>
    <row r="1669" spans="1:12" ht="15.75" hidden="1" thickBot="1" x14ac:dyDescent="0.3">
      <c r="A1669" s="181"/>
      <c r="B1669" s="179"/>
      <c r="C1669" s="25"/>
      <c r="D1669" s="25"/>
      <c r="E1669" s="26"/>
      <c r="F1669" s="27"/>
      <c r="G1669" s="23" t="s">
        <v>1079</v>
      </c>
      <c r="H1669" s="27"/>
      <c r="I1669" s="19" t="str">
        <f>IF(ISNUMBER(G1669),E1669*G1669,"")</f>
        <v/>
      </c>
      <c r="J1669" s="24"/>
      <c r="K1669" s="19"/>
      <c r="L1669" s="174">
        <v>0</v>
      </c>
    </row>
    <row r="1670" spans="1:12" ht="15.75" thickBot="1" x14ac:dyDescent="0.3">
      <c r="A1670" s="288" t="s">
        <v>1088</v>
      </c>
      <c r="B1670" s="289" t="str">
        <f>INDEX(Orçamentária!A:B,MATCH(Composições!A1670,Orçamentária!A:A,0),2)</f>
        <v>Tampa RJ45 dupla para condulete</v>
      </c>
      <c r="C1670" s="274"/>
      <c r="D1670" s="265" t="str">
        <f>TRIM(INDEX(Orçamentária!C:C,MATCH(Composições!A1670,Orçamentária!A:A,0),1))</f>
        <v>un</v>
      </c>
      <c r="E1670" s="290"/>
      <c r="F1670" s="259" t="str">
        <f>F1673</f>
        <v>SEINFRA C2298</v>
      </c>
      <c r="G1670" s="260" t="s">
        <v>1079</v>
      </c>
      <c r="H1670" s="261"/>
      <c r="I1670" s="261" t="str">
        <f>IF(ISNUMBER(G1670),E1670*G1670,"")</f>
        <v/>
      </c>
      <c r="J1670" s="280"/>
      <c r="K1670" s="18"/>
      <c r="L1670" s="174">
        <v>2</v>
      </c>
    </row>
    <row r="1671" spans="1:12" x14ac:dyDescent="0.25">
      <c r="A1671" s="291"/>
      <c r="B1671" s="292"/>
      <c r="C1671" s="155"/>
      <c r="D1671" s="155"/>
      <c r="E1671" s="293"/>
      <c r="F1671" s="294"/>
      <c r="G1671" s="262" t="s">
        <v>1079</v>
      </c>
      <c r="H1671" s="155"/>
      <c r="I1671" s="257" t="str">
        <f>IF(ISNUMBER(G1671),E1671*G1671,"")</f>
        <v/>
      </c>
      <c r="J1671" s="281"/>
      <c r="K1671" s="19"/>
      <c r="L1671" s="174">
        <v>2</v>
      </c>
    </row>
    <row r="1672" spans="1:12" x14ac:dyDescent="0.25">
      <c r="A1672" s="291"/>
      <c r="B1672" s="292"/>
      <c r="C1672" s="105" t="s">
        <v>144</v>
      </c>
      <c r="D1672" s="105" t="s">
        <v>21</v>
      </c>
      <c r="E1672" s="250">
        <v>0.15</v>
      </c>
      <c r="F1672" s="176" t="s">
        <v>1086</v>
      </c>
      <c r="G1672" s="257">
        <v>15.218999999999999</v>
      </c>
      <c r="H1672" s="176" t="s">
        <v>145</v>
      </c>
      <c r="I1672" s="258">
        <f>IF(ISNUMBER(G1672),E1672*G1672,"")</f>
        <v>2.2828499999999998</v>
      </c>
      <c r="J1672" s="295">
        <f>SUM(I1672:I1674)</f>
        <v>10.389875</v>
      </c>
      <c r="K1672" s="29"/>
      <c r="L1672" s="174">
        <v>2</v>
      </c>
    </row>
    <row r="1673" spans="1:12" x14ac:dyDescent="0.25">
      <c r="A1673" s="291"/>
      <c r="B1673" s="292"/>
      <c r="C1673" s="105" t="s">
        <v>54</v>
      </c>
      <c r="D1673" s="105" t="s">
        <v>21</v>
      </c>
      <c r="E1673" s="250">
        <v>0.15</v>
      </c>
      <c r="F1673" s="176" t="s">
        <v>1086</v>
      </c>
      <c r="G1673" s="257">
        <v>19.313499999999998</v>
      </c>
      <c r="H1673" s="176" t="s">
        <v>55</v>
      </c>
      <c r="I1673" s="258">
        <f>IF(ISNUMBER(G1673),E1673*G1673,"")</f>
        <v>2.8970249999999997</v>
      </c>
      <c r="J1673" s="309"/>
      <c r="K1673" s="1"/>
      <c r="L1673" s="174">
        <v>2</v>
      </c>
    </row>
    <row r="1674" spans="1:12" ht="25.5" x14ac:dyDescent="0.25">
      <c r="A1674" s="291"/>
      <c r="B1674" s="292"/>
      <c r="C1674" s="105" t="s">
        <v>1089</v>
      </c>
      <c r="D1674" s="105" t="s">
        <v>32</v>
      </c>
      <c r="E1674" s="250">
        <v>1</v>
      </c>
      <c r="F1674" s="176" t="s">
        <v>1086</v>
      </c>
      <c r="G1674" s="258">
        <v>5.21</v>
      </c>
      <c r="H1674" s="176" t="s">
        <v>33</v>
      </c>
      <c r="I1674" s="257">
        <f>IF(ISNUMBER(G1674),E1674*G1674,"")</f>
        <v>5.21</v>
      </c>
      <c r="J1674" s="281"/>
      <c r="K1674" s="19"/>
      <c r="L1674" s="174">
        <v>2</v>
      </c>
    </row>
    <row r="1675" spans="1:12" ht="15.75" thickBot="1" x14ac:dyDescent="0.3">
      <c r="A1675" s="296"/>
      <c r="B1675" s="297"/>
      <c r="C1675" s="105"/>
      <c r="D1675" s="105"/>
      <c r="E1675" s="250"/>
      <c r="F1675" s="176"/>
      <c r="G1675" s="257" t="s">
        <v>1079</v>
      </c>
      <c r="H1675" s="176"/>
      <c r="I1675" s="257" t="str">
        <f>IF(ISNUMBER(G1675),E1675*G1675,"")</f>
        <v/>
      </c>
      <c r="J1675" s="281"/>
      <c r="K1675" s="19"/>
      <c r="L1675" s="174">
        <v>2</v>
      </c>
    </row>
    <row r="1676" spans="1:12" ht="15.75" hidden="1" thickBot="1" x14ac:dyDescent="0.3">
      <c r="A1676" s="180" t="s">
        <v>1090</v>
      </c>
      <c r="B1676" s="178" t="str">
        <f>INDEX(Orçamentária!A:B,MATCH(Composições!A1676,Orçamentária!A:A,0),2)</f>
        <v>Tomada para condulete</v>
      </c>
      <c r="C1676" s="30"/>
      <c r="D1676" s="13" t="str">
        <f>TRIM(INDEX(Orçamentária!C:C,MATCH(Composições!A1676,Orçamentária!A:A,0),1))</f>
        <v>un</v>
      </c>
      <c r="E1676" s="14"/>
      <c r="F1676" s="15" t="s">
        <v>1091</v>
      </c>
      <c r="G1676" s="31" t="s">
        <v>1079</v>
      </c>
      <c r="H1676" s="16"/>
      <c r="I1676" s="16" t="str">
        <f>IF(ISNUMBER(G1676),E1676*G1676,"")</f>
        <v/>
      </c>
      <c r="J1676" s="17"/>
      <c r="K1676" s="18"/>
      <c r="L1676" s="174">
        <v>0</v>
      </c>
    </row>
    <row r="1677" spans="1:12" ht="15.75" hidden="1" thickBot="1" x14ac:dyDescent="0.3">
      <c r="A1677" s="181"/>
      <c r="B1677" s="179"/>
      <c r="C1677" s="20"/>
      <c r="D1677" s="20"/>
      <c r="E1677" s="21"/>
      <c r="F1677" s="22"/>
      <c r="G1677" s="32" t="s">
        <v>1079</v>
      </c>
      <c r="H1677" s="20"/>
      <c r="I1677" s="19" t="str">
        <f>IF(ISNUMBER(G1677),E1677*G1677,"")</f>
        <v/>
      </c>
      <c r="J1677" s="24"/>
      <c r="K1677" s="19"/>
      <c r="L1677" s="174">
        <v>0</v>
      </c>
    </row>
    <row r="1678" spans="1:12" ht="15.75" hidden="1" thickBot="1" x14ac:dyDescent="0.3">
      <c r="A1678" s="181"/>
      <c r="B1678" s="179"/>
      <c r="C1678" s="25" t="s">
        <v>54</v>
      </c>
      <c r="D1678" s="25" t="s">
        <v>21</v>
      </c>
      <c r="E1678" s="26">
        <v>0.308</v>
      </c>
      <c r="F1678" s="27" t="s">
        <v>1092</v>
      </c>
      <c r="G1678" s="19">
        <v>19.313499999999998</v>
      </c>
      <c r="H1678" s="27" t="s">
        <v>55</v>
      </c>
      <c r="I1678" s="23">
        <f>IF(ISNUMBER(G1678),E1678*G1678,"")</f>
        <v>5.9485579999999993</v>
      </c>
      <c r="J1678" s="28">
        <f>SUM(I1678:I1681)</f>
        <v>10.636009999999999</v>
      </c>
      <c r="K1678" s="29"/>
      <c r="L1678" s="174">
        <v>0</v>
      </c>
    </row>
    <row r="1679" spans="1:12" ht="15.75" hidden="1" thickBot="1" x14ac:dyDescent="0.3">
      <c r="A1679" s="181"/>
      <c r="B1679" s="179"/>
      <c r="C1679" s="25" t="s">
        <v>144</v>
      </c>
      <c r="D1679" s="25" t="s">
        <v>21</v>
      </c>
      <c r="E1679" s="26">
        <v>0.308</v>
      </c>
      <c r="F1679" s="27" t="s">
        <v>1092</v>
      </c>
      <c r="G1679" s="19">
        <v>15.218999999999999</v>
      </c>
      <c r="H1679" s="27" t="s">
        <v>145</v>
      </c>
      <c r="I1679" s="23">
        <f>IF(ISNUMBER(G1679),E1679*G1679,"")</f>
        <v>4.6874519999999995</v>
      </c>
      <c r="J1679" s="24"/>
      <c r="K1679" s="19"/>
      <c r="L1679" s="174">
        <v>0</v>
      </c>
    </row>
    <row r="1680" spans="1:12" ht="26.25" hidden="1" thickBot="1" x14ac:dyDescent="0.3">
      <c r="A1680" s="181"/>
      <c r="B1680" s="179"/>
      <c r="C1680" s="25" t="s">
        <v>1049</v>
      </c>
      <c r="D1680" s="25" t="s">
        <v>32</v>
      </c>
      <c r="E1680" s="26">
        <v>1</v>
      </c>
      <c r="F1680" s="27" t="s">
        <v>1092</v>
      </c>
      <c r="G1680" s="23" t="s">
        <v>1079</v>
      </c>
      <c r="H1680" s="27" t="s">
        <v>33</v>
      </c>
      <c r="I1680" s="23" t="str">
        <f>IF(ISNUMBER(G1680),E1680*G1680,"")</f>
        <v/>
      </c>
      <c r="J1680" s="24"/>
      <c r="K1680" s="19"/>
      <c r="L1680" s="174">
        <v>0</v>
      </c>
    </row>
    <row r="1681" spans="1:12" ht="26.25" hidden="1" thickBot="1" x14ac:dyDescent="0.3">
      <c r="A1681" s="181"/>
      <c r="B1681" s="179"/>
      <c r="C1681" s="25" t="s">
        <v>1093</v>
      </c>
      <c r="D1681" s="25" t="s">
        <v>32</v>
      </c>
      <c r="E1681" s="26">
        <v>1</v>
      </c>
      <c r="F1681" s="27" t="s">
        <v>1092</v>
      </c>
      <c r="G1681" s="23" t="s">
        <v>1079</v>
      </c>
      <c r="H1681" s="27" t="s">
        <v>33</v>
      </c>
      <c r="I1681" s="19" t="str">
        <f>IF(ISNUMBER(G1681),E1681*G1681,"")</f>
        <v/>
      </c>
      <c r="J1681" s="24"/>
      <c r="K1681" s="19"/>
      <c r="L1681" s="174">
        <v>0</v>
      </c>
    </row>
    <row r="1682" spans="1:12" ht="15.75" hidden="1" thickBot="1" x14ac:dyDescent="0.3">
      <c r="A1682" s="182"/>
      <c r="B1682" s="183"/>
      <c r="C1682" s="25"/>
      <c r="D1682" s="25"/>
      <c r="E1682" s="26"/>
      <c r="F1682" s="27"/>
      <c r="G1682" s="19" t="s">
        <v>1079</v>
      </c>
      <c r="H1682" s="27"/>
      <c r="I1682" s="19" t="str">
        <f>IF(ISNUMBER(G1682),E1682*G1682,"")</f>
        <v/>
      </c>
      <c r="J1682" s="24"/>
      <c r="K1682" s="19"/>
      <c r="L1682" s="174">
        <v>0</v>
      </c>
    </row>
    <row r="1683" spans="1:12" ht="15.75" thickBot="1" x14ac:dyDescent="0.3">
      <c r="A1683" s="288" t="s">
        <v>1094</v>
      </c>
      <c r="B1683" s="289" t="str">
        <f>INDEX(Orçamentária!A:B,MATCH(Composições!A1683,Orçamentária!A:A,0),2)</f>
        <v>Tomada para perfilado e eletrocalha</v>
      </c>
      <c r="C1683" s="274"/>
      <c r="D1683" s="265" t="str">
        <f>TRIM(INDEX(Orçamentária!C:C,MATCH(Composições!A1683,Orçamentária!A:A,0),1))</f>
        <v>un</v>
      </c>
      <c r="E1683" s="290"/>
      <c r="F1683" s="259" t="s">
        <v>1095</v>
      </c>
      <c r="G1683" s="260" t="s">
        <v>1079</v>
      </c>
      <c r="H1683" s="261"/>
      <c r="I1683" s="261" t="str">
        <f>IF(ISNUMBER(G1683),E1683*G1683,"")</f>
        <v/>
      </c>
      <c r="J1683" s="280"/>
      <c r="K1683" s="18"/>
      <c r="L1683" s="174">
        <v>1</v>
      </c>
    </row>
    <row r="1684" spans="1:12" x14ac:dyDescent="0.25">
      <c r="A1684" s="291"/>
      <c r="B1684" s="292"/>
      <c r="C1684" s="155"/>
      <c r="D1684" s="155"/>
      <c r="E1684" s="293"/>
      <c r="F1684" s="294"/>
      <c r="G1684" s="262" t="s">
        <v>1079</v>
      </c>
      <c r="H1684" s="155"/>
      <c r="I1684" s="257" t="str">
        <f>IF(ISNUMBER(G1684),E1684*G1684,"")</f>
        <v/>
      </c>
      <c r="J1684" s="281"/>
      <c r="K1684" s="19"/>
      <c r="L1684" s="174">
        <v>1</v>
      </c>
    </row>
    <row r="1685" spans="1:12" x14ac:dyDescent="0.25">
      <c r="A1685" s="291"/>
      <c r="B1685" s="292"/>
      <c r="C1685" s="105" t="s">
        <v>144</v>
      </c>
      <c r="D1685" s="105" t="s">
        <v>21</v>
      </c>
      <c r="E1685" s="250">
        <v>0.65</v>
      </c>
      <c r="F1685" s="176" t="s">
        <v>1096</v>
      </c>
      <c r="G1685" s="257">
        <v>15.218999999999999</v>
      </c>
      <c r="H1685" s="176" t="s">
        <v>145</v>
      </c>
      <c r="I1685" s="258">
        <f>IF(ISNUMBER(G1685),E1685*G1685,"")</f>
        <v>9.8923500000000004</v>
      </c>
      <c r="J1685" s="295">
        <f>SUM(I1685:I1688)</f>
        <v>30.407125000000001</v>
      </c>
      <c r="K1685" s="29"/>
      <c r="L1685" s="174">
        <v>1</v>
      </c>
    </row>
    <row r="1686" spans="1:12" x14ac:dyDescent="0.25">
      <c r="A1686" s="291"/>
      <c r="B1686" s="292"/>
      <c r="C1686" s="105" t="s">
        <v>54</v>
      </c>
      <c r="D1686" s="105" t="s">
        <v>21</v>
      </c>
      <c r="E1686" s="250">
        <v>0.65</v>
      </c>
      <c r="F1686" s="176" t="s">
        <v>1096</v>
      </c>
      <c r="G1686" s="257">
        <v>19.313499999999998</v>
      </c>
      <c r="H1686" s="176" t="s">
        <v>55</v>
      </c>
      <c r="I1686" s="258">
        <f>IF(ISNUMBER(G1686),E1686*G1686,"")</f>
        <v>12.553774999999998</v>
      </c>
      <c r="J1686" s="281"/>
      <c r="K1686" s="19"/>
      <c r="L1686" s="174">
        <v>1</v>
      </c>
    </row>
    <row r="1687" spans="1:12" x14ac:dyDescent="0.25">
      <c r="A1687" s="291"/>
      <c r="B1687" s="292"/>
      <c r="C1687" s="105" t="s">
        <v>1097</v>
      </c>
      <c r="D1687" s="105" t="s">
        <v>32</v>
      </c>
      <c r="E1687" s="250">
        <v>1</v>
      </c>
      <c r="F1687" s="176" t="s">
        <v>1096</v>
      </c>
      <c r="G1687" s="257">
        <v>2.774</v>
      </c>
      <c r="H1687" s="176" t="s">
        <v>1098</v>
      </c>
      <c r="I1687" s="257">
        <f>IF(ISNUMBER(G1687),E1687*G1687,"")</f>
        <v>2.774</v>
      </c>
      <c r="J1687" s="281"/>
      <c r="K1687" s="19"/>
      <c r="L1687" s="174">
        <v>1</v>
      </c>
    </row>
    <row r="1688" spans="1:12" x14ac:dyDescent="0.25">
      <c r="A1688" s="291"/>
      <c r="B1688" s="292"/>
      <c r="C1688" s="105" t="s">
        <v>1099</v>
      </c>
      <c r="D1688" s="105" t="s">
        <v>32</v>
      </c>
      <c r="E1688" s="250">
        <v>1</v>
      </c>
      <c r="F1688" s="176" t="s">
        <v>1096</v>
      </c>
      <c r="G1688" s="257">
        <v>5.1869999999999994</v>
      </c>
      <c r="H1688" s="176" t="s">
        <v>1098</v>
      </c>
      <c r="I1688" s="257">
        <f>IF(ISNUMBER(G1688),E1688*G1688,"")</f>
        <v>5.1869999999999994</v>
      </c>
      <c r="J1688" s="281"/>
      <c r="K1688" s="19"/>
      <c r="L1688" s="174">
        <v>1</v>
      </c>
    </row>
    <row r="1689" spans="1:12" ht="15.75" thickBot="1" x14ac:dyDescent="0.3">
      <c r="A1689" s="296"/>
      <c r="B1689" s="297"/>
      <c r="C1689" s="105"/>
      <c r="D1689" s="105"/>
      <c r="E1689" s="250"/>
      <c r="F1689" s="176"/>
      <c r="G1689" s="257" t="s">
        <v>1079</v>
      </c>
      <c r="H1689" s="176"/>
      <c r="I1689" s="257" t="str">
        <f>IF(ISNUMBER(G1689),E1689*G1689,"")</f>
        <v/>
      </c>
      <c r="J1689" s="281"/>
      <c r="K1689" s="19"/>
      <c r="L1689" s="174">
        <v>1</v>
      </c>
    </row>
    <row r="1690" spans="1:12" ht="15.75" thickBot="1" x14ac:dyDescent="0.3">
      <c r="A1690" s="288" t="s">
        <v>1100</v>
      </c>
      <c r="B1690" s="289" t="str">
        <f>INDEX(Orçamentária!A:B,MATCH(Composições!A1690,Orçamentária!A:A,0),2)</f>
        <v>Bloco autônomo de emergência</v>
      </c>
      <c r="C1690" s="274"/>
      <c r="D1690" s="265" t="str">
        <f>TRIM(INDEX(Orçamentária!C:C,MATCH(Composições!A1690,Orçamentária!A:A,0),1))</f>
        <v>un</v>
      </c>
      <c r="E1690" s="290"/>
      <c r="F1690" s="259" t="s">
        <v>1101</v>
      </c>
      <c r="G1690" s="260" t="s">
        <v>1079</v>
      </c>
      <c r="H1690" s="261"/>
      <c r="I1690" s="261" t="str">
        <f>IF(ISNUMBER(G1690),E1690*G1690,"")</f>
        <v/>
      </c>
      <c r="J1690" s="280"/>
      <c r="K1690" s="18"/>
      <c r="L1690" s="174">
        <v>8</v>
      </c>
    </row>
    <row r="1691" spans="1:12" x14ac:dyDescent="0.25">
      <c r="A1691" s="291"/>
      <c r="B1691" s="292"/>
      <c r="C1691" s="155"/>
      <c r="D1691" s="155"/>
      <c r="E1691" s="293"/>
      <c r="F1691" s="294"/>
      <c r="G1691" s="262" t="s">
        <v>1079</v>
      </c>
      <c r="H1691" s="155"/>
      <c r="I1691" s="257" t="str">
        <f>IF(ISNUMBER(G1691),E1691*G1691,"")</f>
        <v/>
      </c>
      <c r="J1691" s="281"/>
      <c r="K1691" s="19"/>
      <c r="L1691" s="174">
        <v>8</v>
      </c>
    </row>
    <row r="1692" spans="1:12" ht="38.25" x14ac:dyDescent="0.25">
      <c r="A1692" s="291"/>
      <c r="B1692" s="292"/>
      <c r="C1692" s="105" t="s">
        <v>1102</v>
      </c>
      <c r="D1692" s="105" t="s">
        <v>305</v>
      </c>
      <c r="E1692" s="250">
        <v>1</v>
      </c>
      <c r="F1692" s="176" t="s">
        <v>1103</v>
      </c>
      <c r="G1692" s="258">
        <v>186.85</v>
      </c>
      <c r="H1692" s="176" t="s">
        <v>33</v>
      </c>
      <c r="I1692" s="257">
        <f>IF(ISNUMBER(G1692),E1692*G1692,"")</f>
        <v>186.85</v>
      </c>
      <c r="J1692" s="295">
        <f>SUM(I1692:I1694)</f>
        <v>191.45515444999998</v>
      </c>
      <c r="K1692" s="29"/>
      <c r="L1692" s="174">
        <v>8</v>
      </c>
    </row>
    <row r="1693" spans="1:12" x14ac:dyDescent="0.25">
      <c r="A1693" s="291"/>
      <c r="B1693" s="292"/>
      <c r="C1693" s="105" t="s">
        <v>144</v>
      </c>
      <c r="D1693" s="271" t="s">
        <v>21</v>
      </c>
      <c r="E1693" s="250">
        <v>7.4800000000000005E-2</v>
      </c>
      <c r="F1693" s="176" t="s">
        <v>1103</v>
      </c>
      <c r="G1693" s="257">
        <v>15.218999999999999</v>
      </c>
      <c r="H1693" s="176" t="s">
        <v>145</v>
      </c>
      <c r="I1693" s="257">
        <f>IF(ISNUMBER(G1693),E1693*G1693,"")</f>
        <v>1.1383812</v>
      </c>
      <c r="J1693" s="281"/>
      <c r="K1693" s="19"/>
      <c r="L1693" s="174">
        <v>8</v>
      </c>
    </row>
    <row r="1694" spans="1:12" x14ac:dyDescent="0.25">
      <c r="A1694" s="291"/>
      <c r="B1694" s="292"/>
      <c r="C1694" s="105" t="s">
        <v>54</v>
      </c>
      <c r="D1694" s="105" t="s">
        <v>21</v>
      </c>
      <c r="E1694" s="250">
        <v>0.17949999999999999</v>
      </c>
      <c r="F1694" s="176" t="s">
        <v>1103</v>
      </c>
      <c r="G1694" s="257">
        <v>19.313499999999998</v>
      </c>
      <c r="H1694" s="176" t="s">
        <v>55</v>
      </c>
      <c r="I1694" s="257">
        <f>IF(ISNUMBER(G1694),E1694*G1694,"")</f>
        <v>3.4667732499999993</v>
      </c>
      <c r="J1694" s="281"/>
      <c r="K1694" s="19"/>
      <c r="L1694" s="174">
        <v>8</v>
      </c>
    </row>
    <row r="1695" spans="1:12" ht="15.75" thickBot="1" x14ac:dyDescent="0.3">
      <c r="A1695" s="296"/>
      <c r="B1695" s="297"/>
      <c r="C1695" s="105"/>
      <c r="D1695" s="105"/>
      <c r="E1695" s="250"/>
      <c r="F1695" s="176"/>
      <c r="G1695" s="257" t="s">
        <v>1079</v>
      </c>
      <c r="H1695" s="176"/>
      <c r="I1695" s="257" t="str">
        <f>IF(ISNUMBER(G1695),E1695*G1695,"")</f>
        <v/>
      </c>
      <c r="J1695" s="281"/>
      <c r="K1695" s="19"/>
      <c r="L1695" s="174">
        <v>8</v>
      </c>
    </row>
    <row r="1696" spans="1:12" ht="15.75" thickBot="1" x14ac:dyDescent="0.3">
      <c r="A1696" s="288" t="s">
        <v>1104</v>
      </c>
      <c r="B1696" s="289" t="str">
        <f>INDEX(Orçamentária!A:B,MATCH(Composições!A1696,Orçamentária!A:A,0),2)</f>
        <v>Instalação de luminária reaproveitada</v>
      </c>
      <c r="C1696" s="274"/>
      <c r="D1696" s="265" t="str">
        <f>TRIM(INDEX(Orçamentária!C:C,MATCH(Composições!A1696,Orçamentária!A:A,0),1))</f>
        <v>un</v>
      </c>
      <c r="E1696" s="290"/>
      <c r="F1696" s="259" t="s">
        <v>1105</v>
      </c>
      <c r="G1696" s="260" t="s">
        <v>1079</v>
      </c>
      <c r="H1696" s="261"/>
      <c r="I1696" s="261" t="str">
        <f>IF(ISNUMBER(G1696),E1696*G1696,"")</f>
        <v/>
      </c>
      <c r="J1696" s="280"/>
      <c r="K1696" s="18"/>
      <c r="L1696" s="174">
        <v>17</v>
      </c>
    </row>
    <row r="1697" spans="1:12" x14ac:dyDescent="0.25">
      <c r="A1697" s="291"/>
      <c r="B1697" s="292"/>
      <c r="C1697" s="155"/>
      <c r="D1697" s="155"/>
      <c r="E1697" s="293"/>
      <c r="F1697" s="294"/>
      <c r="G1697" s="262" t="s">
        <v>1079</v>
      </c>
      <c r="H1697" s="155"/>
      <c r="I1697" s="257" t="str">
        <f>IF(ISNUMBER(G1697),E1697*G1697,"")</f>
        <v/>
      </c>
      <c r="J1697" s="281"/>
      <c r="K1697" s="19"/>
      <c r="L1697" s="174">
        <v>17</v>
      </c>
    </row>
    <row r="1698" spans="1:12" x14ac:dyDescent="0.25">
      <c r="A1698" s="291"/>
      <c r="B1698" s="292"/>
      <c r="C1698" s="105" t="s">
        <v>144</v>
      </c>
      <c r="D1698" s="271" t="s">
        <v>21</v>
      </c>
      <c r="E1698" s="250">
        <v>0.12889999999999999</v>
      </c>
      <c r="F1698" s="176" t="s">
        <v>1106</v>
      </c>
      <c r="G1698" s="257">
        <v>15.218999999999999</v>
      </c>
      <c r="H1698" s="176" t="s">
        <v>145</v>
      </c>
      <c r="I1698" s="257">
        <f>IF(ISNUMBER(G1698),E1698*G1698,"")</f>
        <v>1.9617290999999997</v>
      </c>
      <c r="J1698" s="295">
        <f>SUM(I1698:I1702)</f>
        <v>24.642326000000001</v>
      </c>
      <c r="K1698" s="29"/>
      <c r="L1698" s="174">
        <v>17</v>
      </c>
    </row>
    <row r="1699" spans="1:12" x14ac:dyDescent="0.25">
      <c r="A1699" s="291"/>
      <c r="B1699" s="292"/>
      <c r="C1699" s="105" t="s">
        <v>54</v>
      </c>
      <c r="D1699" s="105" t="s">
        <v>21</v>
      </c>
      <c r="E1699" s="250">
        <v>0.30940000000000001</v>
      </c>
      <c r="F1699" s="176" t="s">
        <v>1106</v>
      </c>
      <c r="G1699" s="257">
        <v>19.313499999999998</v>
      </c>
      <c r="H1699" s="176" t="s">
        <v>55</v>
      </c>
      <c r="I1699" s="257">
        <f>IF(ISNUMBER(G1699),E1699*G1699,"")</f>
        <v>5.9755968999999993</v>
      </c>
      <c r="J1699" s="282"/>
      <c r="K1699" s="35"/>
      <c r="L1699" s="174">
        <v>17</v>
      </c>
    </row>
    <row r="1700" spans="1:12" ht="25.5" x14ac:dyDescent="0.25">
      <c r="A1700" s="291"/>
      <c r="B1700" s="292"/>
      <c r="C1700" s="105" t="s">
        <v>1107</v>
      </c>
      <c r="D1700" s="105" t="s">
        <v>184</v>
      </c>
      <c r="E1700" s="250">
        <v>1.5</v>
      </c>
      <c r="F1700" s="176" t="s">
        <v>17</v>
      </c>
      <c r="G1700" s="258">
        <v>5.49</v>
      </c>
      <c r="H1700" s="176" t="s">
        <v>33</v>
      </c>
      <c r="I1700" s="257">
        <f>IF(ISNUMBER(G1700),E1700*G1700,"")</f>
        <v>8.2349999999999994</v>
      </c>
      <c r="J1700" s="281"/>
      <c r="K1700" s="19"/>
      <c r="L1700" s="174">
        <v>17</v>
      </c>
    </row>
    <row r="1701" spans="1:12" x14ac:dyDescent="0.25">
      <c r="A1701" s="291"/>
      <c r="B1701" s="292"/>
      <c r="C1701" s="105" t="s">
        <v>1108</v>
      </c>
      <c r="D1701" s="105" t="s">
        <v>305</v>
      </c>
      <c r="E1701" s="250">
        <v>1</v>
      </c>
      <c r="F1701" s="176" t="s">
        <v>17</v>
      </c>
      <c r="G1701" s="258">
        <v>4.1900000000000004</v>
      </c>
      <c r="H1701" s="176" t="s">
        <v>33</v>
      </c>
      <c r="I1701" s="257">
        <f>IF(ISNUMBER(G1701),E1701*G1701,"")</f>
        <v>4.1900000000000004</v>
      </c>
      <c r="J1701" s="281"/>
      <c r="K1701" s="19"/>
      <c r="L1701" s="174">
        <v>17</v>
      </c>
    </row>
    <row r="1702" spans="1:12" x14ac:dyDescent="0.25">
      <c r="A1702" s="291"/>
      <c r="B1702" s="292"/>
      <c r="C1702" s="105" t="s">
        <v>1109</v>
      </c>
      <c r="D1702" s="105" t="s">
        <v>305</v>
      </c>
      <c r="E1702" s="250">
        <v>1</v>
      </c>
      <c r="F1702" s="176" t="s">
        <v>17</v>
      </c>
      <c r="G1702" s="258">
        <v>4.28</v>
      </c>
      <c r="H1702" s="176" t="s">
        <v>33</v>
      </c>
      <c r="I1702" s="257">
        <f>IF(ISNUMBER(G1702),E1702*G1702,"")</f>
        <v>4.28</v>
      </c>
      <c r="J1702" s="281"/>
      <c r="K1702" s="19"/>
      <c r="L1702" s="174">
        <v>17</v>
      </c>
    </row>
    <row r="1703" spans="1:12" ht="15.75" thickBot="1" x14ac:dyDescent="0.3">
      <c r="A1703" s="296"/>
      <c r="B1703" s="297"/>
      <c r="C1703" s="105"/>
      <c r="D1703" s="105"/>
      <c r="E1703" s="250"/>
      <c r="F1703" s="176"/>
      <c r="G1703" s="257" t="s">
        <v>1079</v>
      </c>
      <c r="H1703" s="176"/>
      <c r="I1703" s="257" t="str">
        <f>IF(ISNUMBER(G1703),E1703*G1703,"")</f>
        <v/>
      </c>
      <c r="J1703" s="281"/>
      <c r="K1703" s="19"/>
      <c r="L1703" s="174">
        <v>17</v>
      </c>
    </row>
    <row r="1704" spans="1:12" ht="15.75" hidden="1" thickBot="1" x14ac:dyDescent="0.3">
      <c r="A1704" s="180" t="s">
        <v>1110</v>
      </c>
      <c r="B1704" s="178" t="str">
        <f>INDEX(Orçamentária!A:B,MATCH(Composições!A1704,Orçamentária!A:A,0),2)</f>
        <v>Luminária 2x14 W de embutir</v>
      </c>
      <c r="C1704" s="30"/>
      <c r="D1704" s="13" t="str">
        <f>TRIM(INDEX(Orçamentária!C:C,MATCH(Composições!A1704,Orçamentária!A:A,0),1))</f>
        <v>un</v>
      </c>
      <c r="E1704" s="14"/>
      <c r="F1704" s="15" t="s">
        <v>1105</v>
      </c>
      <c r="G1704" s="31" t="s">
        <v>1079</v>
      </c>
      <c r="H1704" s="16"/>
      <c r="I1704" s="16" t="str">
        <f>IF(ISNUMBER(G1704),E1704*G1704,"")</f>
        <v/>
      </c>
      <c r="J1704" s="17"/>
      <c r="K1704" s="18"/>
      <c r="L1704" s="174">
        <v>0</v>
      </c>
    </row>
    <row r="1705" spans="1:12" ht="15.75" hidden="1" thickBot="1" x14ac:dyDescent="0.3">
      <c r="A1705" s="181"/>
      <c r="B1705" s="179"/>
      <c r="C1705" s="20"/>
      <c r="D1705" s="20"/>
      <c r="E1705" s="21"/>
      <c r="F1705" s="22"/>
      <c r="G1705" s="32" t="s">
        <v>1079</v>
      </c>
      <c r="H1705" s="20"/>
      <c r="I1705" s="19" t="str">
        <f>IF(ISNUMBER(G1705),E1705*G1705,"")</f>
        <v/>
      </c>
      <c r="J1705" s="24"/>
      <c r="K1705" s="19"/>
      <c r="L1705" s="174">
        <v>0</v>
      </c>
    </row>
    <row r="1706" spans="1:12" ht="26.25" hidden="1" thickBot="1" x14ac:dyDescent="0.3">
      <c r="A1706" s="181"/>
      <c r="B1706" s="179"/>
      <c r="C1706" s="25" t="s">
        <v>1111</v>
      </c>
      <c r="D1706" s="25" t="s">
        <v>305</v>
      </c>
      <c r="E1706" s="26">
        <v>1</v>
      </c>
      <c r="F1706" s="27" t="s">
        <v>1106</v>
      </c>
      <c r="G1706" s="23" t="s">
        <v>1079</v>
      </c>
      <c r="H1706" s="27" t="s">
        <v>33</v>
      </c>
      <c r="I1706" s="23" t="str">
        <f>IF(ISNUMBER(G1706),E1706*G1706,"")</f>
        <v/>
      </c>
      <c r="J1706" s="28">
        <f>SUM(I1706:I1713)</f>
        <v>24.642326000000001</v>
      </c>
      <c r="K1706" s="29"/>
      <c r="L1706" s="174">
        <v>0</v>
      </c>
    </row>
    <row r="1707" spans="1:12" ht="26.25" hidden="1" thickBot="1" x14ac:dyDescent="0.3">
      <c r="A1707" s="181"/>
      <c r="B1707" s="179"/>
      <c r="C1707" s="25" t="s">
        <v>1112</v>
      </c>
      <c r="D1707" s="25" t="s">
        <v>305</v>
      </c>
      <c r="E1707" s="26">
        <v>1</v>
      </c>
      <c r="F1707" s="27" t="s">
        <v>17</v>
      </c>
      <c r="G1707" s="23" t="s">
        <v>1079</v>
      </c>
      <c r="H1707" s="27" t="s">
        <v>33</v>
      </c>
      <c r="I1707" s="23" t="str">
        <f>IF(ISNUMBER(G1707),E1707*G1707,"")</f>
        <v/>
      </c>
      <c r="J1707" s="34"/>
      <c r="K1707" s="35"/>
      <c r="L1707" s="174">
        <v>0</v>
      </c>
    </row>
    <row r="1708" spans="1:12" ht="26.25" hidden="1" thickBot="1" x14ac:dyDescent="0.3">
      <c r="A1708" s="181"/>
      <c r="B1708" s="179"/>
      <c r="C1708" s="25" t="s">
        <v>1113</v>
      </c>
      <c r="D1708" s="25" t="s">
        <v>305</v>
      </c>
      <c r="E1708" s="26">
        <v>2</v>
      </c>
      <c r="F1708" s="27" t="s">
        <v>17</v>
      </c>
      <c r="G1708" s="23" t="s">
        <v>1079</v>
      </c>
      <c r="H1708" s="27" t="s">
        <v>33</v>
      </c>
      <c r="I1708" s="23" t="str">
        <f>IF(ISNUMBER(G1708),E1708*G1708,"")</f>
        <v/>
      </c>
      <c r="J1708" s="34"/>
      <c r="K1708" s="35"/>
      <c r="L1708" s="174">
        <v>0</v>
      </c>
    </row>
    <row r="1709" spans="1:12" ht="26.25" hidden="1" thickBot="1" x14ac:dyDescent="0.3">
      <c r="A1709" s="181"/>
      <c r="B1709" s="179"/>
      <c r="C1709" s="25" t="s">
        <v>1107</v>
      </c>
      <c r="D1709" s="25" t="s">
        <v>184</v>
      </c>
      <c r="E1709" s="26">
        <v>1.5</v>
      </c>
      <c r="F1709" s="27" t="s">
        <v>17</v>
      </c>
      <c r="G1709" s="23">
        <v>5.49</v>
      </c>
      <c r="H1709" s="27" t="s">
        <v>33</v>
      </c>
      <c r="I1709" s="19">
        <f>IF(ISNUMBER(G1709),E1709*G1709,"")</f>
        <v>8.2349999999999994</v>
      </c>
      <c r="J1709" s="24"/>
      <c r="K1709" s="19"/>
      <c r="L1709" s="174">
        <v>0</v>
      </c>
    </row>
    <row r="1710" spans="1:12" ht="15.75" hidden="1" thickBot="1" x14ac:dyDescent="0.3">
      <c r="A1710" s="181"/>
      <c r="B1710" s="179"/>
      <c r="C1710" s="25" t="s">
        <v>1108</v>
      </c>
      <c r="D1710" s="25" t="s">
        <v>305</v>
      </c>
      <c r="E1710" s="26">
        <v>1</v>
      </c>
      <c r="F1710" s="27" t="s">
        <v>17</v>
      </c>
      <c r="G1710" s="23">
        <v>4.1900000000000004</v>
      </c>
      <c r="H1710" s="27" t="s">
        <v>33</v>
      </c>
      <c r="I1710" s="19">
        <f>IF(ISNUMBER(G1710),E1710*G1710,"")</f>
        <v>4.1900000000000004</v>
      </c>
      <c r="J1710" s="24"/>
      <c r="K1710" s="19"/>
      <c r="L1710" s="174">
        <v>0</v>
      </c>
    </row>
    <row r="1711" spans="1:12" ht="15.75" hidden="1" thickBot="1" x14ac:dyDescent="0.3">
      <c r="A1711" s="181"/>
      <c r="B1711" s="179"/>
      <c r="C1711" s="25" t="s">
        <v>1109</v>
      </c>
      <c r="D1711" s="25" t="s">
        <v>305</v>
      </c>
      <c r="E1711" s="26">
        <v>1</v>
      </c>
      <c r="F1711" s="27" t="s">
        <v>17</v>
      </c>
      <c r="G1711" s="23">
        <v>4.28</v>
      </c>
      <c r="H1711" s="27" t="s">
        <v>33</v>
      </c>
      <c r="I1711" s="19">
        <f>IF(ISNUMBER(G1711),E1711*G1711,"")</f>
        <v>4.28</v>
      </c>
      <c r="J1711" s="24"/>
      <c r="K1711" s="19"/>
      <c r="L1711" s="174">
        <v>0</v>
      </c>
    </row>
    <row r="1712" spans="1:12" ht="15.75" hidden="1" thickBot="1" x14ac:dyDescent="0.3">
      <c r="A1712" s="181"/>
      <c r="B1712" s="179"/>
      <c r="C1712" s="25" t="s">
        <v>144</v>
      </c>
      <c r="D1712" s="25" t="s">
        <v>21</v>
      </c>
      <c r="E1712" s="26">
        <v>0.12889999999999999</v>
      </c>
      <c r="F1712" s="27" t="s">
        <v>1106</v>
      </c>
      <c r="G1712" s="19">
        <v>15.218999999999999</v>
      </c>
      <c r="H1712" s="27" t="s">
        <v>145</v>
      </c>
      <c r="I1712" s="23">
        <f>IF(ISNUMBER(G1712),E1712*G1712,"")</f>
        <v>1.9617290999999997</v>
      </c>
      <c r="J1712" s="24"/>
      <c r="K1712" s="19"/>
      <c r="L1712" s="174">
        <v>0</v>
      </c>
    </row>
    <row r="1713" spans="1:12" ht="15.75" hidden="1" thickBot="1" x14ac:dyDescent="0.3">
      <c r="A1713" s="181"/>
      <c r="B1713" s="179"/>
      <c r="C1713" s="25" t="s">
        <v>54</v>
      </c>
      <c r="D1713" s="25" t="s">
        <v>21</v>
      </c>
      <c r="E1713" s="26">
        <v>0.30940000000000001</v>
      </c>
      <c r="F1713" s="27" t="s">
        <v>1106</v>
      </c>
      <c r="G1713" s="19">
        <v>19.313499999999998</v>
      </c>
      <c r="H1713" s="27" t="s">
        <v>55</v>
      </c>
      <c r="I1713" s="19">
        <f>IF(ISNUMBER(G1713),E1713*G1713,"")</f>
        <v>5.9755968999999993</v>
      </c>
      <c r="J1713" s="24"/>
      <c r="K1713" s="19"/>
      <c r="L1713" s="174">
        <v>0</v>
      </c>
    </row>
    <row r="1714" spans="1:12" ht="15.75" hidden="1" thickBot="1" x14ac:dyDescent="0.3">
      <c r="A1714" s="182"/>
      <c r="B1714" s="183"/>
      <c r="C1714" s="25"/>
      <c r="D1714" s="25"/>
      <c r="E1714" s="26"/>
      <c r="F1714" s="27"/>
      <c r="G1714" s="19" t="s">
        <v>1079</v>
      </c>
      <c r="H1714" s="27"/>
      <c r="I1714" s="19" t="str">
        <f>IF(ISNUMBER(G1714),E1714*G1714,"")</f>
        <v/>
      </c>
      <c r="J1714" s="24"/>
      <c r="K1714" s="19"/>
      <c r="L1714" s="174">
        <v>0</v>
      </c>
    </row>
    <row r="1715" spans="1:12" ht="15.75" hidden="1" thickBot="1" x14ac:dyDescent="0.3">
      <c r="A1715" s="180" t="s">
        <v>1114</v>
      </c>
      <c r="B1715" s="178" t="str">
        <f>INDEX(Orçamentária!A:B,MATCH(Composições!A1715,Orçamentária!A:A,0),2)</f>
        <v>Luminária 2x14 W de sobrepor</v>
      </c>
      <c r="C1715" s="30"/>
      <c r="D1715" s="13" t="str">
        <f>TRIM(INDEX(Orçamentária!C:C,MATCH(Composições!A1715,Orçamentária!A:A,0),1))</f>
        <v>un</v>
      </c>
      <c r="E1715" s="14"/>
      <c r="F1715" s="15" t="s">
        <v>1115</v>
      </c>
      <c r="G1715" s="31" t="s">
        <v>1079</v>
      </c>
      <c r="H1715" s="16"/>
      <c r="I1715" s="16" t="str">
        <f>IF(ISNUMBER(G1715),E1715*G1715,"")</f>
        <v/>
      </c>
      <c r="J1715" s="17"/>
      <c r="K1715" s="18"/>
      <c r="L1715" s="174">
        <v>0</v>
      </c>
    </row>
    <row r="1716" spans="1:12" ht="15.75" hidden="1" thickBot="1" x14ac:dyDescent="0.3">
      <c r="A1716" s="181"/>
      <c r="B1716" s="179"/>
      <c r="C1716" s="20"/>
      <c r="D1716" s="20"/>
      <c r="E1716" s="21"/>
      <c r="F1716" s="22"/>
      <c r="G1716" s="32" t="s">
        <v>1079</v>
      </c>
      <c r="H1716" s="20"/>
      <c r="I1716" s="19" t="str">
        <f>IF(ISNUMBER(G1716),E1716*G1716,"")</f>
        <v/>
      </c>
      <c r="J1716" s="24"/>
      <c r="K1716" s="19"/>
      <c r="L1716" s="174">
        <v>0</v>
      </c>
    </row>
    <row r="1717" spans="1:12" ht="26.25" hidden="1" thickBot="1" x14ac:dyDescent="0.3">
      <c r="A1717" s="181"/>
      <c r="B1717" s="179"/>
      <c r="C1717" s="25" t="s">
        <v>1116</v>
      </c>
      <c r="D1717" s="25" t="s">
        <v>305</v>
      </c>
      <c r="E1717" s="26">
        <v>1</v>
      </c>
      <c r="F1717" s="27" t="s">
        <v>1117</v>
      </c>
      <c r="G1717" s="23" t="s">
        <v>1079</v>
      </c>
      <c r="H1717" s="27" t="s">
        <v>33</v>
      </c>
      <c r="I1717" s="23" t="str">
        <f>IF(ISNUMBER(G1717),E1717*G1717,"")</f>
        <v/>
      </c>
      <c r="J1717" s="28">
        <f>SUM(I1717:I1724)</f>
        <v>28.7891482</v>
      </c>
      <c r="K1717" s="29"/>
      <c r="L1717" s="174">
        <v>0</v>
      </c>
    </row>
    <row r="1718" spans="1:12" ht="26.25" hidden="1" thickBot="1" x14ac:dyDescent="0.3">
      <c r="A1718" s="181"/>
      <c r="B1718" s="179"/>
      <c r="C1718" s="25" t="s">
        <v>1112</v>
      </c>
      <c r="D1718" s="25" t="s">
        <v>305</v>
      </c>
      <c r="E1718" s="26">
        <v>1</v>
      </c>
      <c r="F1718" s="27" t="s">
        <v>17</v>
      </c>
      <c r="G1718" s="23" t="s">
        <v>1079</v>
      </c>
      <c r="H1718" s="27" t="s">
        <v>33</v>
      </c>
      <c r="I1718" s="23" t="str">
        <f>IF(ISNUMBER(G1718),E1718*G1718,"")</f>
        <v/>
      </c>
      <c r="J1718" s="34"/>
      <c r="K1718" s="35"/>
      <c r="L1718" s="174">
        <v>0</v>
      </c>
    </row>
    <row r="1719" spans="1:12" ht="26.25" hidden="1" thickBot="1" x14ac:dyDescent="0.3">
      <c r="A1719" s="181"/>
      <c r="B1719" s="179"/>
      <c r="C1719" s="25" t="s">
        <v>1113</v>
      </c>
      <c r="D1719" s="25" t="s">
        <v>305</v>
      </c>
      <c r="E1719" s="26">
        <v>2</v>
      </c>
      <c r="F1719" s="27" t="s">
        <v>17</v>
      </c>
      <c r="G1719" s="23" t="s">
        <v>1079</v>
      </c>
      <c r="H1719" s="27" t="s">
        <v>33</v>
      </c>
      <c r="I1719" s="23" t="str">
        <f>IF(ISNUMBER(G1719),E1719*G1719,"")</f>
        <v/>
      </c>
      <c r="J1719" s="34"/>
      <c r="K1719" s="35"/>
      <c r="L1719" s="174">
        <v>0</v>
      </c>
    </row>
    <row r="1720" spans="1:12" ht="26.25" hidden="1" thickBot="1" x14ac:dyDescent="0.3">
      <c r="A1720" s="181"/>
      <c r="B1720" s="179"/>
      <c r="C1720" s="25" t="s">
        <v>1107</v>
      </c>
      <c r="D1720" s="25" t="s">
        <v>184</v>
      </c>
      <c r="E1720" s="26">
        <v>1.5</v>
      </c>
      <c r="F1720" s="27" t="s">
        <v>17</v>
      </c>
      <c r="G1720" s="23">
        <v>5.49</v>
      </c>
      <c r="H1720" s="27" t="s">
        <v>33</v>
      </c>
      <c r="I1720" s="19">
        <f>IF(ISNUMBER(G1720),E1720*G1720,"")</f>
        <v>8.2349999999999994</v>
      </c>
      <c r="J1720" s="24"/>
      <c r="K1720" s="19"/>
      <c r="L1720" s="174">
        <v>0</v>
      </c>
    </row>
    <row r="1721" spans="1:12" ht="15.75" hidden="1" thickBot="1" x14ac:dyDescent="0.3">
      <c r="A1721" s="181"/>
      <c r="B1721" s="179"/>
      <c r="C1721" s="25" t="s">
        <v>1108</v>
      </c>
      <c r="D1721" s="25" t="s">
        <v>305</v>
      </c>
      <c r="E1721" s="26">
        <v>1</v>
      </c>
      <c r="F1721" s="27" t="s">
        <v>17</v>
      </c>
      <c r="G1721" s="23">
        <v>4.1900000000000004</v>
      </c>
      <c r="H1721" s="27" t="s">
        <v>33</v>
      </c>
      <c r="I1721" s="19">
        <f>IF(ISNUMBER(G1721),E1721*G1721,"")</f>
        <v>4.1900000000000004</v>
      </c>
      <c r="J1721" s="24"/>
      <c r="K1721" s="19"/>
      <c r="L1721" s="174">
        <v>0</v>
      </c>
    </row>
    <row r="1722" spans="1:12" ht="15.75" hidden="1" thickBot="1" x14ac:dyDescent="0.3">
      <c r="A1722" s="181"/>
      <c r="B1722" s="179"/>
      <c r="C1722" s="25" t="s">
        <v>1109</v>
      </c>
      <c r="D1722" s="25" t="s">
        <v>305</v>
      </c>
      <c r="E1722" s="26">
        <v>1</v>
      </c>
      <c r="F1722" s="27" t="s">
        <v>17</v>
      </c>
      <c r="G1722" s="23">
        <v>4.28</v>
      </c>
      <c r="H1722" s="27" t="s">
        <v>33</v>
      </c>
      <c r="I1722" s="19">
        <f>IF(ISNUMBER(G1722),E1722*G1722,"")</f>
        <v>4.28</v>
      </c>
      <c r="J1722" s="24"/>
      <c r="K1722" s="19"/>
      <c r="L1722" s="174">
        <v>0</v>
      </c>
    </row>
    <row r="1723" spans="1:12" ht="15.75" hidden="1" thickBot="1" x14ac:dyDescent="0.3">
      <c r="A1723" s="181"/>
      <c r="B1723" s="179"/>
      <c r="C1723" s="25" t="s">
        <v>144</v>
      </c>
      <c r="D1723" s="36" t="s">
        <v>21</v>
      </c>
      <c r="E1723" s="26">
        <v>0.1963</v>
      </c>
      <c r="F1723" s="27" t="s">
        <v>1117</v>
      </c>
      <c r="G1723" s="19">
        <v>15.218999999999999</v>
      </c>
      <c r="H1723" s="27" t="s">
        <v>145</v>
      </c>
      <c r="I1723" s="19">
        <f>IF(ISNUMBER(G1723),E1723*G1723,"")</f>
        <v>2.9874896999999998</v>
      </c>
      <c r="J1723" s="24"/>
      <c r="K1723" s="19"/>
      <c r="L1723" s="174">
        <v>0</v>
      </c>
    </row>
    <row r="1724" spans="1:12" ht="15.75" hidden="1" thickBot="1" x14ac:dyDescent="0.3">
      <c r="A1724" s="181"/>
      <c r="B1724" s="179"/>
      <c r="C1724" s="25" t="s">
        <v>54</v>
      </c>
      <c r="D1724" s="25" t="s">
        <v>21</v>
      </c>
      <c r="E1724" s="26">
        <v>0.47099999999999997</v>
      </c>
      <c r="F1724" s="27" t="s">
        <v>1117</v>
      </c>
      <c r="G1724" s="19">
        <v>19.313499999999998</v>
      </c>
      <c r="H1724" s="27" t="s">
        <v>55</v>
      </c>
      <c r="I1724" s="19">
        <f>IF(ISNUMBER(G1724),E1724*G1724,"")</f>
        <v>9.0966584999999984</v>
      </c>
      <c r="J1724" s="24"/>
      <c r="K1724" s="19"/>
      <c r="L1724" s="174">
        <v>0</v>
      </c>
    </row>
    <row r="1725" spans="1:12" ht="15.75" hidden="1" thickBot="1" x14ac:dyDescent="0.3">
      <c r="A1725" s="182"/>
      <c r="B1725" s="183"/>
      <c r="C1725" s="25"/>
      <c r="D1725" s="25"/>
      <c r="E1725" s="26"/>
      <c r="F1725" s="27"/>
      <c r="G1725" s="19" t="s">
        <v>1079</v>
      </c>
      <c r="H1725" s="27"/>
      <c r="I1725" s="19" t="str">
        <f>IF(ISNUMBER(G1725),E1725*G1725,"")</f>
        <v/>
      </c>
      <c r="J1725" s="24"/>
      <c r="K1725" s="19"/>
      <c r="L1725" s="174">
        <v>0</v>
      </c>
    </row>
    <row r="1726" spans="1:12" ht="15.75" hidden="1" thickBot="1" x14ac:dyDescent="0.3">
      <c r="A1726" s="180" t="s">
        <v>1118</v>
      </c>
      <c r="B1726" s="178" t="str">
        <f>INDEX(Orçamentária!A:B,MATCH(Composições!A1726,Orçamentária!A:A,0),2)</f>
        <v>Luminária 2x28 W de embutir</v>
      </c>
      <c r="C1726" s="30"/>
      <c r="D1726" s="13" t="str">
        <f>TRIM(INDEX(Orçamentária!C:C,MATCH(Composições!A1726,Orçamentária!A:A,0),1))</f>
        <v>un</v>
      </c>
      <c r="E1726" s="14"/>
      <c r="F1726" s="15" t="s">
        <v>1105</v>
      </c>
      <c r="G1726" s="31" t="s">
        <v>1079</v>
      </c>
      <c r="H1726" s="16"/>
      <c r="I1726" s="16" t="str">
        <f>IF(ISNUMBER(G1726),E1726*G1726,"")</f>
        <v/>
      </c>
      <c r="J1726" s="17"/>
      <c r="K1726" s="18"/>
      <c r="L1726" s="174">
        <v>0</v>
      </c>
    </row>
    <row r="1727" spans="1:12" ht="15.75" hidden="1" thickBot="1" x14ac:dyDescent="0.3">
      <c r="A1727" s="181"/>
      <c r="B1727" s="179"/>
      <c r="C1727" s="20"/>
      <c r="D1727" s="20"/>
      <c r="E1727" s="21"/>
      <c r="F1727" s="22"/>
      <c r="G1727" s="32" t="s">
        <v>1079</v>
      </c>
      <c r="H1727" s="20"/>
      <c r="I1727" s="19" t="str">
        <f>IF(ISNUMBER(G1727),E1727*G1727,"")</f>
        <v/>
      </c>
      <c r="J1727" s="24"/>
      <c r="K1727" s="19"/>
      <c r="L1727" s="174">
        <v>0</v>
      </c>
    </row>
    <row r="1728" spans="1:12" ht="26.25" hidden="1" thickBot="1" x14ac:dyDescent="0.3">
      <c r="A1728" s="181"/>
      <c r="B1728" s="179"/>
      <c r="C1728" s="25" t="s">
        <v>1119</v>
      </c>
      <c r="D1728" s="25" t="s">
        <v>305</v>
      </c>
      <c r="E1728" s="26">
        <v>1</v>
      </c>
      <c r="F1728" s="27" t="s">
        <v>1106</v>
      </c>
      <c r="G1728" s="23" t="s">
        <v>1079</v>
      </c>
      <c r="H1728" s="27" t="s">
        <v>33</v>
      </c>
      <c r="I1728" s="19" t="str">
        <f>IF(ISNUMBER(G1728),E1728*G1728,"")</f>
        <v/>
      </c>
      <c r="J1728" s="28">
        <f>SUM(I1728:I1735)</f>
        <v>24.642326000000001</v>
      </c>
      <c r="K1728" s="29"/>
      <c r="L1728" s="174">
        <v>0</v>
      </c>
    </row>
    <row r="1729" spans="1:12" ht="26.25" hidden="1" thickBot="1" x14ac:dyDescent="0.3">
      <c r="A1729" s="181"/>
      <c r="B1729" s="179"/>
      <c r="C1729" s="25" t="s">
        <v>1120</v>
      </c>
      <c r="D1729" s="25" t="s">
        <v>305</v>
      </c>
      <c r="E1729" s="26">
        <v>1</v>
      </c>
      <c r="F1729" s="27" t="s">
        <v>17</v>
      </c>
      <c r="G1729" s="23" t="s">
        <v>1079</v>
      </c>
      <c r="H1729" s="27" t="s">
        <v>33</v>
      </c>
      <c r="I1729" s="19" t="str">
        <f>IF(ISNUMBER(G1729),E1729*G1729,"")</f>
        <v/>
      </c>
      <c r="J1729" s="34"/>
      <c r="K1729" s="35"/>
      <c r="L1729" s="174">
        <v>0</v>
      </c>
    </row>
    <row r="1730" spans="1:12" ht="26.25" hidden="1" thickBot="1" x14ac:dyDescent="0.3">
      <c r="A1730" s="181"/>
      <c r="B1730" s="179"/>
      <c r="C1730" s="25" t="s">
        <v>1121</v>
      </c>
      <c r="D1730" s="25" t="s">
        <v>305</v>
      </c>
      <c r="E1730" s="26">
        <v>2</v>
      </c>
      <c r="F1730" s="27" t="s">
        <v>17</v>
      </c>
      <c r="G1730" s="23" t="s">
        <v>1079</v>
      </c>
      <c r="H1730" s="27" t="s">
        <v>33</v>
      </c>
      <c r="I1730" s="19" t="str">
        <f>IF(ISNUMBER(G1730),E1730*G1730,"")</f>
        <v/>
      </c>
      <c r="J1730" s="34"/>
      <c r="K1730" s="35"/>
      <c r="L1730" s="174">
        <v>0</v>
      </c>
    </row>
    <row r="1731" spans="1:12" ht="26.25" hidden="1" thickBot="1" x14ac:dyDescent="0.3">
      <c r="A1731" s="181"/>
      <c r="B1731" s="179"/>
      <c r="C1731" s="25" t="s">
        <v>1107</v>
      </c>
      <c r="D1731" s="25" t="s">
        <v>184</v>
      </c>
      <c r="E1731" s="26">
        <v>1.5</v>
      </c>
      <c r="F1731" s="27" t="s">
        <v>17</v>
      </c>
      <c r="G1731" s="23">
        <v>5.49</v>
      </c>
      <c r="H1731" s="27" t="s">
        <v>33</v>
      </c>
      <c r="I1731" s="19">
        <f>IF(ISNUMBER(G1731),E1731*G1731,"")</f>
        <v>8.2349999999999994</v>
      </c>
      <c r="J1731" s="24"/>
      <c r="K1731" s="19"/>
      <c r="L1731" s="174">
        <v>0</v>
      </c>
    </row>
    <row r="1732" spans="1:12" ht="15.75" hidden="1" thickBot="1" x14ac:dyDescent="0.3">
      <c r="A1732" s="181"/>
      <c r="B1732" s="179"/>
      <c r="C1732" s="25" t="s">
        <v>1108</v>
      </c>
      <c r="D1732" s="25" t="s">
        <v>305</v>
      </c>
      <c r="E1732" s="26">
        <v>1</v>
      </c>
      <c r="F1732" s="27" t="s">
        <v>17</v>
      </c>
      <c r="G1732" s="23">
        <v>4.1900000000000004</v>
      </c>
      <c r="H1732" s="27" t="s">
        <v>33</v>
      </c>
      <c r="I1732" s="19">
        <f>IF(ISNUMBER(G1732),E1732*G1732,"")</f>
        <v>4.1900000000000004</v>
      </c>
      <c r="J1732" s="24"/>
      <c r="K1732" s="19"/>
      <c r="L1732" s="174">
        <v>0</v>
      </c>
    </row>
    <row r="1733" spans="1:12" ht="15.75" hidden="1" thickBot="1" x14ac:dyDescent="0.3">
      <c r="A1733" s="181"/>
      <c r="B1733" s="179"/>
      <c r="C1733" s="25" t="s">
        <v>1109</v>
      </c>
      <c r="D1733" s="25" t="s">
        <v>305</v>
      </c>
      <c r="E1733" s="26">
        <v>1</v>
      </c>
      <c r="F1733" s="27" t="s">
        <v>17</v>
      </c>
      <c r="G1733" s="23">
        <v>4.28</v>
      </c>
      <c r="H1733" s="27" t="s">
        <v>33</v>
      </c>
      <c r="I1733" s="19">
        <f>IF(ISNUMBER(G1733),E1733*G1733,"")</f>
        <v>4.28</v>
      </c>
      <c r="J1733" s="24"/>
      <c r="K1733" s="19"/>
      <c r="L1733" s="174">
        <v>0</v>
      </c>
    </row>
    <row r="1734" spans="1:12" ht="15.75" hidden="1" thickBot="1" x14ac:dyDescent="0.3">
      <c r="A1734" s="181"/>
      <c r="B1734" s="179"/>
      <c r="C1734" s="25" t="s">
        <v>144</v>
      </c>
      <c r="D1734" s="25" t="s">
        <v>21</v>
      </c>
      <c r="E1734" s="26">
        <v>0.12889999999999999</v>
      </c>
      <c r="F1734" s="27" t="s">
        <v>1106</v>
      </c>
      <c r="G1734" s="19">
        <v>15.218999999999999</v>
      </c>
      <c r="H1734" s="27" t="s">
        <v>145</v>
      </c>
      <c r="I1734" s="23">
        <f>IF(ISNUMBER(G1734),E1734*G1734,"")</f>
        <v>1.9617290999999997</v>
      </c>
      <c r="J1734" s="24"/>
      <c r="K1734" s="19"/>
      <c r="L1734" s="174">
        <v>0</v>
      </c>
    </row>
    <row r="1735" spans="1:12" ht="15.75" hidden="1" thickBot="1" x14ac:dyDescent="0.3">
      <c r="A1735" s="181"/>
      <c r="B1735" s="179"/>
      <c r="C1735" s="25" t="s">
        <v>54</v>
      </c>
      <c r="D1735" s="25" t="s">
        <v>21</v>
      </c>
      <c r="E1735" s="26">
        <v>0.30940000000000001</v>
      </c>
      <c r="F1735" s="27" t="s">
        <v>1106</v>
      </c>
      <c r="G1735" s="19">
        <v>19.313499999999998</v>
      </c>
      <c r="H1735" s="27" t="s">
        <v>55</v>
      </c>
      <c r="I1735" s="19">
        <f>IF(ISNUMBER(G1735),E1735*G1735,"")</f>
        <v>5.9755968999999993</v>
      </c>
      <c r="J1735" s="24"/>
      <c r="K1735" s="19"/>
      <c r="L1735" s="174">
        <v>0</v>
      </c>
    </row>
    <row r="1736" spans="1:12" ht="15.75" hidden="1" thickBot="1" x14ac:dyDescent="0.3">
      <c r="A1736" s="182"/>
      <c r="B1736" s="183"/>
      <c r="C1736" s="25"/>
      <c r="D1736" s="25"/>
      <c r="E1736" s="26"/>
      <c r="F1736" s="27"/>
      <c r="G1736" s="19" t="s">
        <v>1079</v>
      </c>
      <c r="H1736" s="27"/>
      <c r="I1736" s="19" t="str">
        <f>IF(ISNUMBER(G1736),E1736*G1736,"")</f>
        <v/>
      </c>
      <c r="J1736" s="24"/>
      <c r="K1736" s="19"/>
      <c r="L1736" s="174">
        <v>0</v>
      </c>
    </row>
    <row r="1737" spans="1:12" ht="15.75" hidden="1" thickBot="1" x14ac:dyDescent="0.3">
      <c r="A1737" s="180" t="s">
        <v>1122</v>
      </c>
      <c r="B1737" s="178" t="str">
        <f>INDEX(Orçamentária!A:B,MATCH(Composições!A1737,Orçamentária!A:A,0),2)</f>
        <v>Luminária 2x28 W de sobrepor</v>
      </c>
      <c r="C1737" s="30"/>
      <c r="D1737" s="13" t="str">
        <f>TRIM(INDEX(Orçamentária!C:C,MATCH(Composições!A1737,Orçamentária!A:A,0),1))</f>
        <v>un</v>
      </c>
      <c r="E1737" s="14"/>
      <c r="F1737" s="15" t="s">
        <v>1115</v>
      </c>
      <c r="G1737" s="31" t="s">
        <v>1079</v>
      </c>
      <c r="H1737" s="16"/>
      <c r="I1737" s="16" t="str">
        <f>IF(ISNUMBER(G1737),E1737*G1737,"")</f>
        <v/>
      </c>
      <c r="J1737" s="17"/>
      <c r="K1737" s="18"/>
      <c r="L1737" s="174">
        <v>0</v>
      </c>
    </row>
    <row r="1738" spans="1:12" ht="15.75" hidden="1" thickBot="1" x14ac:dyDescent="0.3">
      <c r="A1738" s="181"/>
      <c r="B1738" s="179"/>
      <c r="C1738" s="20"/>
      <c r="D1738" s="20"/>
      <c r="E1738" s="21"/>
      <c r="F1738" s="22"/>
      <c r="G1738" s="32" t="s">
        <v>1079</v>
      </c>
      <c r="H1738" s="20"/>
      <c r="I1738" s="19" t="str">
        <f>IF(ISNUMBER(G1738),E1738*G1738,"")</f>
        <v/>
      </c>
      <c r="J1738" s="24"/>
      <c r="K1738" s="19"/>
      <c r="L1738" s="174">
        <v>0</v>
      </c>
    </row>
    <row r="1739" spans="1:12" ht="26.25" hidden="1" thickBot="1" x14ac:dyDescent="0.3">
      <c r="A1739" s="181"/>
      <c r="B1739" s="179"/>
      <c r="C1739" s="25" t="s">
        <v>1123</v>
      </c>
      <c r="D1739" s="25" t="s">
        <v>305</v>
      </c>
      <c r="E1739" s="26">
        <v>1</v>
      </c>
      <c r="F1739" s="27" t="s">
        <v>1117</v>
      </c>
      <c r="G1739" s="23" t="s">
        <v>1079</v>
      </c>
      <c r="H1739" s="27" t="s">
        <v>33</v>
      </c>
      <c r="I1739" s="19" t="str">
        <f>IF(ISNUMBER(G1739),E1739*G1739,"")</f>
        <v/>
      </c>
      <c r="J1739" s="28">
        <f>SUM(I1739:I1746)</f>
        <v>28.7891482</v>
      </c>
      <c r="K1739" s="29"/>
      <c r="L1739" s="174">
        <v>0</v>
      </c>
    </row>
    <row r="1740" spans="1:12" ht="26.25" hidden="1" thickBot="1" x14ac:dyDescent="0.3">
      <c r="A1740" s="181"/>
      <c r="B1740" s="179"/>
      <c r="C1740" s="25" t="s">
        <v>1120</v>
      </c>
      <c r="D1740" s="25" t="s">
        <v>305</v>
      </c>
      <c r="E1740" s="26">
        <v>1</v>
      </c>
      <c r="F1740" s="27" t="s">
        <v>17</v>
      </c>
      <c r="G1740" s="23" t="s">
        <v>1079</v>
      </c>
      <c r="H1740" s="27" t="s">
        <v>33</v>
      </c>
      <c r="I1740" s="19" t="str">
        <f>IF(ISNUMBER(G1740),E1740*G1740,"")</f>
        <v/>
      </c>
      <c r="J1740" s="34"/>
      <c r="K1740" s="35"/>
      <c r="L1740" s="174">
        <v>0</v>
      </c>
    </row>
    <row r="1741" spans="1:12" ht="26.25" hidden="1" thickBot="1" x14ac:dyDescent="0.3">
      <c r="A1741" s="181"/>
      <c r="B1741" s="179"/>
      <c r="C1741" s="25" t="s">
        <v>1121</v>
      </c>
      <c r="D1741" s="25" t="s">
        <v>305</v>
      </c>
      <c r="E1741" s="26">
        <v>2</v>
      </c>
      <c r="F1741" s="27" t="s">
        <v>17</v>
      </c>
      <c r="G1741" s="23" t="s">
        <v>1079</v>
      </c>
      <c r="H1741" s="27" t="s">
        <v>33</v>
      </c>
      <c r="I1741" s="19" t="str">
        <f>IF(ISNUMBER(G1741),E1741*G1741,"")</f>
        <v/>
      </c>
      <c r="J1741" s="34"/>
      <c r="K1741" s="35"/>
      <c r="L1741" s="174">
        <v>0</v>
      </c>
    </row>
    <row r="1742" spans="1:12" ht="26.25" hidden="1" thickBot="1" x14ac:dyDescent="0.3">
      <c r="A1742" s="181"/>
      <c r="B1742" s="179"/>
      <c r="C1742" s="25" t="s">
        <v>1107</v>
      </c>
      <c r="D1742" s="25" t="s">
        <v>184</v>
      </c>
      <c r="E1742" s="26">
        <v>1.5</v>
      </c>
      <c r="F1742" s="27" t="s">
        <v>17</v>
      </c>
      <c r="G1742" s="23">
        <v>5.49</v>
      </c>
      <c r="H1742" s="27" t="s">
        <v>33</v>
      </c>
      <c r="I1742" s="19">
        <f>IF(ISNUMBER(G1742),E1742*G1742,"")</f>
        <v>8.2349999999999994</v>
      </c>
      <c r="J1742" s="24"/>
      <c r="K1742" s="19"/>
      <c r="L1742" s="174">
        <v>0</v>
      </c>
    </row>
    <row r="1743" spans="1:12" ht="15.75" hidden="1" thickBot="1" x14ac:dyDescent="0.3">
      <c r="A1743" s="181"/>
      <c r="B1743" s="179"/>
      <c r="C1743" s="25" t="s">
        <v>1108</v>
      </c>
      <c r="D1743" s="25" t="s">
        <v>305</v>
      </c>
      <c r="E1743" s="26">
        <v>1</v>
      </c>
      <c r="F1743" s="27" t="s">
        <v>17</v>
      </c>
      <c r="G1743" s="23">
        <v>4.1900000000000004</v>
      </c>
      <c r="H1743" s="27" t="s">
        <v>33</v>
      </c>
      <c r="I1743" s="19">
        <f>IF(ISNUMBER(G1743),E1743*G1743,"")</f>
        <v>4.1900000000000004</v>
      </c>
      <c r="J1743" s="24"/>
      <c r="K1743" s="19"/>
      <c r="L1743" s="174">
        <v>0</v>
      </c>
    </row>
    <row r="1744" spans="1:12" ht="15.75" hidden="1" thickBot="1" x14ac:dyDescent="0.3">
      <c r="A1744" s="181"/>
      <c r="B1744" s="179"/>
      <c r="C1744" s="25" t="s">
        <v>1109</v>
      </c>
      <c r="D1744" s="25" t="s">
        <v>305</v>
      </c>
      <c r="E1744" s="26">
        <v>1</v>
      </c>
      <c r="F1744" s="27" t="s">
        <v>17</v>
      </c>
      <c r="G1744" s="23">
        <v>4.28</v>
      </c>
      <c r="H1744" s="27" t="s">
        <v>33</v>
      </c>
      <c r="I1744" s="19">
        <f>IF(ISNUMBER(G1744),E1744*G1744,"")</f>
        <v>4.28</v>
      </c>
      <c r="J1744" s="24"/>
      <c r="K1744" s="19"/>
      <c r="L1744" s="174">
        <v>0</v>
      </c>
    </row>
    <row r="1745" spans="1:12" ht="15.75" hidden="1" thickBot="1" x14ac:dyDescent="0.3">
      <c r="A1745" s="181"/>
      <c r="B1745" s="179"/>
      <c r="C1745" s="25" t="s">
        <v>144</v>
      </c>
      <c r="D1745" s="25" t="s">
        <v>21</v>
      </c>
      <c r="E1745" s="26">
        <v>0.1963</v>
      </c>
      <c r="F1745" s="27" t="s">
        <v>1106</v>
      </c>
      <c r="G1745" s="19">
        <v>15.218999999999999</v>
      </c>
      <c r="H1745" s="27" t="s">
        <v>145</v>
      </c>
      <c r="I1745" s="19">
        <f>IF(ISNUMBER(G1745),E1745*G1745,"")</f>
        <v>2.9874896999999998</v>
      </c>
      <c r="J1745" s="24"/>
      <c r="K1745" s="19"/>
      <c r="L1745" s="174">
        <v>0</v>
      </c>
    </row>
    <row r="1746" spans="1:12" ht="15.75" hidden="1" thickBot="1" x14ac:dyDescent="0.3">
      <c r="A1746" s="181"/>
      <c r="B1746" s="179"/>
      <c r="C1746" s="25" t="s">
        <v>54</v>
      </c>
      <c r="D1746" s="25" t="s">
        <v>21</v>
      </c>
      <c r="E1746" s="26">
        <v>0.47099999999999997</v>
      </c>
      <c r="F1746" s="27" t="s">
        <v>1117</v>
      </c>
      <c r="G1746" s="19">
        <v>19.313499999999998</v>
      </c>
      <c r="H1746" s="27" t="s">
        <v>55</v>
      </c>
      <c r="I1746" s="19">
        <f>IF(ISNUMBER(G1746),E1746*G1746,"")</f>
        <v>9.0966584999999984</v>
      </c>
      <c r="J1746" s="24"/>
      <c r="K1746" s="19"/>
      <c r="L1746" s="174">
        <v>0</v>
      </c>
    </row>
    <row r="1747" spans="1:12" ht="15.75" hidden="1" thickBot="1" x14ac:dyDescent="0.3">
      <c r="A1747" s="182"/>
      <c r="B1747" s="183"/>
      <c r="C1747" s="25"/>
      <c r="D1747" s="25"/>
      <c r="E1747" s="26"/>
      <c r="F1747" s="27"/>
      <c r="G1747" s="19" t="s">
        <v>1079</v>
      </c>
      <c r="H1747" s="27"/>
      <c r="I1747" s="19" t="str">
        <f>IF(ISNUMBER(G1747),E1747*G1747,"")</f>
        <v/>
      </c>
      <c r="J1747" s="24"/>
      <c r="K1747" s="19"/>
      <c r="L1747" s="174">
        <v>0</v>
      </c>
    </row>
    <row r="1748" spans="1:12" ht="15.75" thickBot="1" x14ac:dyDescent="0.3">
      <c r="A1748" s="288" t="s">
        <v>1124</v>
      </c>
      <c r="B1748" s="289" t="str">
        <f>INDEX(Orçamentária!A:B,MATCH(Composições!A1748,Orçamentária!A:A,0),2)</f>
        <v>Condutor 10mm²</v>
      </c>
      <c r="C1748" s="274"/>
      <c r="D1748" s="265" t="str">
        <f>TRIM(INDEX(Orçamentária!C:C,MATCH(Composições!A1748,Orçamentária!A:A,0),1))</f>
        <v>m</v>
      </c>
      <c r="E1748" s="290"/>
      <c r="F1748" s="259" t="s">
        <v>1125</v>
      </c>
      <c r="G1748" s="260" t="s">
        <v>1079</v>
      </c>
      <c r="H1748" s="261"/>
      <c r="I1748" s="261" t="str">
        <f>IF(ISNUMBER(G1748),E1748*G1748,"")</f>
        <v/>
      </c>
      <c r="J1748" s="280"/>
      <c r="K1748" s="18"/>
      <c r="L1748" s="174">
        <v>45</v>
      </c>
    </row>
    <row r="1749" spans="1:12" x14ac:dyDescent="0.25">
      <c r="A1749" s="291"/>
      <c r="B1749" s="292"/>
      <c r="C1749" s="155"/>
      <c r="D1749" s="155"/>
      <c r="E1749" s="293"/>
      <c r="F1749" s="294"/>
      <c r="G1749" s="262" t="s">
        <v>1079</v>
      </c>
      <c r="H1749" s="155"/>
      <c r="I1749" s="257" t="str">
        <f>IF(ISNUMBER(G1749),E1749*G1749,"")</f>
        <v/>
      </c>
      <c r="J1749" s="281"/>
      <c r="K1749" s="19"/>
      <c r="L1749" s="174">
        <v>45</v>
      </c>
    </row>
    <row r="1750" spans="1:12" x14ac:dyDescent="0.25">
      <c r="A1750" s="291"/>
      <c r="B1750" s="292"/>
      <c r="C1750" s="105" t="s">
        <v>144</v>
      </c>
      <c r="D1750" s="105" t="s">
        <v>21</v>
      </c>
      <c r="E1750" s="250">
        <v>8.9999999999999993E-3</v>
      </c>
      <c r="F1750" s="176" t="s">
        <v>1126</v>
      </c>
      <c r="G1750" s="257">
        <v>15.218999999999999</v>
      </c>
      <c r="H1750" s="176" t="s">
        <v>145</v>
      </c>
      <c r="I1750" s="258">
        <f>IF(ISNUMBER(G1750),E1750*G1750,"")</f>
        <v>0.13697099999999998</v>
      </c>
      <c r="J1750" s="295">
        <f>SUM(I1750:I1753)</f>
        <v>9.8013209999999962</v>
      </c>
      <c r="K1750" s="29"/>
      <c r="L1750" s="174">
        <v>45</v>
      </c>
    </row>
    <row r="1751" spans="1:12" x14ac:dyDescent="0.25">
      <c r="A1751" s="291"/>
      <c r="B1751" s="292"/>
      <c r="C1751" s="105" t="s">
        <v>54</v>
      </c>
      <c r="D1751" s="105" t="s">
        <v>21</v>
      </c>
      <c r="E1751" s="250">
        <v>8.9999999999999993E-3</v>
      </c>
      <c r="F1751" s="176" t="s">
        <v>1126</v>
      </c>
      <c r="G1751" s="257">
        <v>19.313499999999998</v>
      </c>
      <c r="H1751" s="176" t="s">
        <v>55</v>
      </c>
      <c r="I1751" s="258">
        <f>IF(ISNUMBER(G1751),E1751*G1751,"")</f>
        <v>0.17382149999999996</v>
      </c>
      <c r="J1751" s="281"/>
      <c r="K1751" s="19"/>
      <c r="L1751" s="174">
        <v>45</v>
      </c>
    </row>
    <row r="1752" spans="1:12" x14ac:dyDescent="0.25">
      <c r="A1752" s="291"/>
      <c r="B1752" s="292"/>
      <c r="C1752" s="105" t="s">
        <v>1127</v>
      </c>
      <c r="D1752" s="105" t="s">
        <v>184</v>
      </c>
      <c r="E1752" s="250">
        <v>1.0269999999999999</v>
      </c>
      <c r="F1752" s="176" t="s">
        <v>1126</v>
      </c>
      <c r="G1752" s="258">
        <v>9.2054999999999989</v>
      </c>
      <c r="H1752" s="176" t="s">
        <v>1128</v>
      </c>
      <c r="I1752" s="258">
        <f>IF(ISNUMBER(G1752),E1752*G1752,"")</f>
        <v>9.4540484999999972</v>
      </c>
      <c r="J1752" s="281"/>
      <c r="K1752" s="19"/>
      <c r="L1752" s="174">
        <v>45</v>
      </c>
    </row>
    <row r="1753" spans="1:12" x14ac:dyDescent="0.25">
      <c r="A1753" s="291"/>
      <c r="B1753" s="292"/>
      <c r="C1753" s="105" t="s">
        <v>1129</v>
      </c>
      <c r="D1753" s="105" t="s">
        <v>32</v>
      </c>
      <c r="E1753" s="250">
        <v>0.01</v>
      </c>
      <c r="F1753" s="176" t="s">
        <v>1126</v>
      </c>
      <c r="G1753" s="258">
        <v>3.6479999999999997</v>
      </c>
      <c r="H1753" s="176" t="s">
        <v>1130</v>
      </c>
      <c r="I1753" s="258">
        <f>IF(ISNUMBER(G1753),E1753*G1753,"")</f>
        <v>3.6479999999999999E-2</v>
      </c>
      <c r="J1753" s="281"/>
      <c r="K1753" s="19"/>
      <c r="L1753" s="174">
        <v>45</v>
      </c>
    </row>
    <row r="1754" spans="1:12" ht="15.75" thickBot="1" x14ac:dyDescent="0.3">
      <c r="A1754" s="296"/>
      <c r="B1754" s="297"/>
      <c r="C1754" s="105"/>
      <c r="D1754" s="105"/>
      <c r="E1754" s="250"/>
      <c r="F1754" s="176"/>
      <c r="G1754" s="257" t="s">
        <v>1079</v>
      </c>
      <c r="H1754" s="176"/>
      <c r="I1754" s="257" t="str">
        <f>IF(ISNUMBER(G1754),E1754*G1754,"")</f>
        <v/>
      </c>
      <c r="J1754" s="281"/>
      <c r="K1754" s="19"/>
      <c r="L1754" s="174">
        <v>45</v>
      </c>
    </row>
    <row r="1755" spans="1:12" ht="15.75" hidden="1" thickBot="1" x14ac:dyDescent="0.3">
      <c r="A1755" s="180" t="s">
        <v>1131</v>
      </c>
      <c r="B1755" s="178" t="str">
        <f>INDEX(Orçamentária!A:B,MATCH(Composições!A1755,Orçamentária!A:A,0),2)</f>
        <v>Condutor 16mm²</v>
      </c>
      <c r="C1755" s="30"/>
      <c r="D1755" s="13" t="str">
        <f>TRIM(INDEX(Orçamentária!C:C,MATCH(Composições!A1755,Orçamentária!A:A,0),1))</f>
        <v>m</v>
      </c>
      <c r="E1755" s="14"/>
      <c r="F1755" s="15" t="s">
        <v>1132</v>
      </c>
      <c r="G1755" s="31" t="s">
        <v>1079</v>
      </c>
      <c r="H1755" s="16"/>
      <c r="I1755" s="16" t="str">
        <f>IF(ISNUMBER(G1755),E1755*G1755,"")</f>
        <v/>
      </c>
      <c r="J1755" s="17"/>
      <c r="K1755" s="18"/>
      <c r="L1755" s="174">
        <v>0</v>
      </c>
    </row>
    <row r="1756" spans="1:12" ht="15.75" hidden="1" thickBot="1" x14ac:dyDescent="0.3">
      <c r="A1756" s="181"/>
      <c r="B1756" s="179"/>
      <c r="C1756" s="20"/>
      <c r="D1756" s="20"/>
      <c r="E1756" s="21"/>
      <c r="F1756" s="22"/>
      <c r="G1756" s="32" t="s">
        <v>1079</v>
      </c>
      <c r="H1756" s="20"/>
      <c r="I1756" s="19" t="str">
        <f>IF(ISNUMBER(G1756),E1756*G1756,"")</f>
        <v/>
      </c>
      <c r="J1756" s="24"/>
      <c r="K1756" s="19"/>
      <c r="L1756" s="174">
        <v>0</v>
      </c>
    </row>
    <row r="1757" spans="1:12" ht="15.75" hidden="1" thickBot="1" x14ac:dyDescent="0.3">
      <c r="A1757" s="181"/>
      <c r="B1757" s="179"/>
      <c r="C1757" s="25" t="s">
        <v>144</v>
      </c>
      <c r="D1757" s="25" t="s">
        <v>21</v>
      </c>
      <c r="E1757" s="26">
        <v>1.2999999999999999E-2</v>
      </c>
      <c r="F1757" s="27" t="s">
        <v>1133</v>
      </c>
      <c r="G1757" s="19">
        <v>15.218999999999999</v>
      </c>
      <c r="H1757" s="27" t="s">
        <v>145</v>
      </c>
      <c r="I1757" s="23">
        <f>IF(ISNUMBER(G1757),E1757*G1757,"")</f>
        <v>0.197847</v>
      </c>
      <c r="J1757" s="28">
        <f>SUM(I1757:I1760)</f>
        <v>0.48540249999999996</v>
      </c>
      <c r="K1757" s="29"/>
      <c r="L1757" s="174">
        <v>0</v>
      </c>
    </row>
    <row r="1758" spans="1:12" ht="15.75" hidden="1" thickBot="1" x14ac:dyDescent="0.3">
      <c r="A1758" s="181"/>
      <c r="B1758" s="179"/>
      <c r="C1758" s="25" t="s">
        <v>54</v>
      </c>
      <c r="D1758" s="25" t="s">
        <v>21</v>
      </c>
      <c r="E1758" s="26">
        <v>1.2999999999999999E-2</v>
      </c>
      <c r="F1758" s="27" t="s">
        <v>1133</v>
      </c>
      <c r="G1758" s="19">
        <v>19.313499999999998</v>
      </c>
      <c r="H1758" s="27" t="s">
        <v>55</v>
      </c>
      <c r="I1758" s="23">
        <f>IF(ISNUMBER(G1758),E1758*G1758,"")</f>
        <v>0.25107549999999995</v>
      </c>
      <c r="J1758" s="24"/>
      <c r="K1758" s="19"/>
      <c r="L1758" s="174">
        <v>0</v>
      </c>
    </row>
    <row r="1759" spans="1:12" ht="15.75" hidden="1" thickBot="1" x14ac:dyDescent="0.3">
      <c r="A1759" s="181"/>
      <c r="B1759" s="179"/>
      <c r="C1759" s="25" t="s">
        <v>1134</v>
      </c>
      <c r="D1759" s="25" t="s">
        <v>184</v>
      </c>
      <c r="E1759" s="26">
        <v>1.0269999999999999</v>
      </c>
      <c r="F1759" s="27" t="s">
        <v>1133</v>
      </c>
      <c r="G1759" s="23">
        <v>0</v>
      </c>
      <c r="H1759" s="27" t="s">
        <v>1135</v>
      </c>
      <c r="I1759" s="23">
        <f>IF(ISNUMBER(G1759),E1759*G1759,"")</f>
        <v>0</v>
      </c>
      <c r="J1759" s="24"/>
      <c r="K1759" s="19"/>
      <c r="L1759" s="174">
        <v>0</v>
      </c>
    </row>
    <row r="1760" spans="1:12" ht="15.75" hidden="1" thickBot="1" x14ac:dyDescent="0.3">
      <c r="A1760" s="181"/>
      <c r="B1760" s="179"/>
      <c r="C1760" s="25" t="s">
        <v>1129</v>
      </c>
      <c r="D1760" s="25" t="s">
        <v>32</v>
      </c>
      <c r="E1760" s="26">
        <v>0.01</v>
      </c>
      <c r="F1760" s="27" t="s">
        <v>1133</v>
      </c>
      <c r="G1760" s="23">
        <v>3.6479999999999997</v>
      </c>
      <c r="H1760" s="27" t="s">
        <v>1130</v>
      </c>
      <c r="I1760" s="23">
        <f>IF(ISNUMBER(G1760),E1760*G1760,"")</f>
        <v>3.6479999999999999E-2</v>
      </c>
      <c r="J1760" s="24"/>
      <c r="K1760" s="19"/>
      <c r="L1760" s="174">
        <v>0</v>
      </c>
    </row>
    <row r="1761" spans="1:12" ht="15.75" hidden="1" thickBot="1" x14ac:dyDescent="0.3">
      <c r="A1761" s="182"/>
      <c r="B1761" s="183"/>
      <c r="C1761" s="25"/>
      <c r="D1761" s="25"/>
      <c r="E1761" s="26"/>
      <c r="F1761" s="27"/>
      <c r="G1761" s="19" t="s">
        <v>1079</v>
      </c>
      <c r="H1761" s="27"/>
      <c r="I1761" s="19" t="str">
        <f>IF(ISNUMBER(G1761),E1761*G1761,"")</f>
        <v/>
      </c>
      <c r="J1761" s="24"/>
      <c r="K1761" s="19"/>
      <c r="L1761" s="174">
        <v>0</v>
      </c>
    </row>
    <row r="1762" spans="1:12" ht="15.75" thickBot="1" x14ac:dyDescent="0.3">
      <c r="A1762" s="288" t="s">
        <v>1136</v>
      </c>
      <c r="B1762" s="289" t="str">
        <f>INDEX(Orçamentária!A:B,MATCH(Composições!A1762,Orçamentária!A:A,0),2)</f>
        <v>Condutor 2,5 mm²</v>
      </c>
      <c r="C1762" s="274"/>
      <c r="D1762" s="265" t="str">
        <f>TRIM(INDEX(Orçamentária!C:C,MATCH(Composições!A1762,Orçamentária!A:A,0),1))</f>
        <v>m</v>
      </c>
      <c r="E1762" s="290"/>
      <c r="F1762" s="259" t="s">
        <v>1137</v>
      </c>
      <c r="G1762" s="260" t="s">
        <v>1079</v>
      </c>
      <c r="H1762" s="261"/>
      <c r="I1762" s="261" t="str">
        <f>IF(ISNUMBER(G1762),E1762*G1762,"")</f>
        <v/>
      </c>
      <c r="J1762" s="280"/>
      <c r="K1762" s="18"/>
      <c r="L1762" s="174">
        <v>440</v>
      </c>
    </row>
    <row r="1763" spans="1:12" x14ac:dyDescent="0.25">
      <c r="A1763" s="291"/>
      <c r="B1763" s="292"/>
      <c r="C1763" s="155"/>
      <c r="D1763" s="155"/>
      <c r="E1763" s="293"/>
      <c r="F1763" s="294"/>
      <c r="G1763" s="262" t="s">
        <v>1079</v>
      </c>
      <c r="H1763" s="155"/>
      <c r="I1763" s="257" t="str">
        <f>IF(ISNUMBER(G1763),E1763*G1763,"")</f>
        <v/>
      </c>
      <c r="J1763" s="281"/>
      <c r="K1763" s="19"/>
      <c r="L1763" s="174">
        <v>440</v>
      </c>
    </row>
    <row r="1764" spans="1:12" x14ac:dyDescent="0.25">
      <c r="A1764" s="291"/>
      <c r="B1764" s="292"/>
      <c r="C1764" s="105" t="s">
        <v>144</v>
      </c>
      <c r="D1764" s="105" t="s">
        <v>21</v>
      </c>
      <c r="E1764" s="250">
        <v>0.03</v>
      </c>
      <c r="F1764" s="176" t="s">
        <v>1138</v>
      </c>
      <c r="G1764" s="257">
        <v>15.218999999999999</v>
      </c>
      <c r="H1764" s="176" t="s">
        <v>145</v>
      </c>
      <c r="I1764" s="258">
        <f>IF(ISNUMBER(G1764),E1764*G1764,"")</f>
        <v>0.45656999999999998</v>
      </c>
      <c r="J1764" s="295">
        <f>SUM(I1764:I1767)</f>
        <v>2.473007</v>
      </c>
      <c r="K1764" s="29"/>
      <c r="L1764" s="174">
        <v>440</v>
      </c>
    </row>
    <row r="1765" spans="1:12" x14ac:dyDescent="0.25">
      <c r="A1765" s="291"/>
      <c r="B1765" s="292"/>
      <c r="C1765" s="105" t="s">
        <v>54</v>
      </c>
      <c r="D1765" s="105" t="s">
        <v>21</v>
      </c>
      <c r="E1765" s="250">
        <v>0.03</v>
      </c>
      <c r="F1765" s="176" t="s">
        <v>1138</v>
      </c>
      <c r="G1765" s="257">
        <v>19.313499999999998</v>
      </c>
      <c r="H1765" s="176" t="s">
        <v>55</v>
      </c>
      <c r="I1765" s="258">
        <f>IF(ISNUMBER(G1765),E1765*G1765,"")</f>
        <v>0.57940499999999995</v>
      </c>
      <c r="J1765" s="281"/>
      <c r="K1765" s="19"/>
      <c r="L1765" s="174">
        <v>440</v>
      </c>
    </row>
    <row r="1766" spans="1:12" ht="25.5" x14ac:dyDescent="0.25">
      <c r="A1766" s="291"/>
      <c r="B1766" s="292"/>
      <c r="C1766" s="105" t="s">
        <v>1139</v>
      </c>
      <c r="D1766" s="105" t="s">
        <v>184</v>
      </c>
      <c r="E1766" s="250">
        <v>1.19</v>
      </c>
      <c r="F1766" s="176" t="s">
        <v>1138</v>
      </c>
      <c r="G1766" s="258">
        <v>1.18</v>
      </c>
      <c r="H1766" s="176" t="s">
        <v>33</v>
      </c>
      <c r="I1766" s="258">
        <f>IF(ISNUMBER(G1766),E1766*G1766,"")</f>
        <v>1.4041999999999999</v>
      </c>
      <c r="J1766" s="281"/>
      <c r="K1766" s="19"/>
      <c r="L1766" s="174">
        <v>440</v>
      </c>
    </row>
    <row r="1767" spans="1:12" x14ac:dyDescent="0.25">
      <c r="A1767" s="291"/>
      <c r="B1767" s="292"/>
      <c r="C1767" s="105" t="s">
        <v>1129</v>
      </c>
      <c r="D1767" s="105" t="s">
        <v>32</v>
      </c>
      <c r="E1767" s="250">
        <v>8.9999999999999993E-3</v>
      </c>
      <c r="F1767" s="176" t="s">
        <v>1138</v>
      </c>
      <c r="G1767" s="258">
        <v>3.6479999999999997</v>
      </c>
      <c r="H1767" s="176" t="s">
        <v>1130</v>
      </c>
      <c r="I1767" s="258">
        <f>IF(ISNUMBER(G1767),E1767*G1767,"")</f>
        <v>3.2831999999999993E-2</v>
      </c>
      <c r="J1767" s="281"/>
      <c r="K1767" s="19"/>
      <c r="L1767" s="174">
        <v>440</v>
      </c>
    </row>
    <row r="1768" spans="1:12" ht="15.75" thickBot="1" x14ac:dyDescent="0.3">
      <c r="A1768" s="296"/>
      <c r="B1768" s="297"/>
      <c r="C1768" s="105"/>
      <c r="D1768" s="105"/>
      <c r="E1768" s="250"/>
      <c r="F1768" s="176"/>
      <c r="G1768" s="257" t="s">
        <v>1079</v>
      </c>
      <c r="H1768" s="176"/>
      <c r="I1768" s="257" t="str">
        <f>IF(ISNUMBER(G1768),E1768*G1768,"")</f>
        <v/>
      </c>
      <c r="J1768" s="281"/>
      <c r="K1768" s="19"/>
      <c r="L1768" s="174">
        <v>440</v>
      </c>
    </row>
    <row r="1769" spans="1:12" ht="15.75" thickBot="1" x14ac:dyDescent="0.3">
      <c r="A1769" s="288" t="s">
        <v>1140</v>
      </c>
      <c r="B1769" s="289" t="str">
        <f>INDEX(Orçamentária!A:B,MATCH(Composições!A1769,Orçamentária!A:A,0),2)</f>
        <v>Condutor 3x2,5 mm²</v>
      </c>
      <c r="C1769" s="274"/>
      <c r="D1769" s="265" t="str">
        <f>TRIM(INDEX(Orçamentária!C:C,MATCH(Composições!A1769,Orçamentária!A:A,0),1))</f>
        <v>m</v>
      </c>
      <c r="E1769" s="290"/>
      <c r="F1769" s="259" t="s">
        <v>1141</v>
      </c>
      <c r="G1769" s="260" t="s">
        <v>1079</v>
      </c>
      <c r="H1769" s="261"/>
      <c r="I1769" s="261" t="str">
        <f>IF(ISNUMBER(G1769),E1769*G1769,"")</f>
        <v/>
      </c>
      <c r="J1769" s="280"/>
      <c r="K1769" s="18"/>
      <c r="L1769" s="174">
        <v>249</v>
      </c>
    </row>
    <row r="1770" spans="1:12" x14ac:dyDescent="0.25">
      <c r="A1770" s="291"/>
      <c r="B1770" s="292"/>
      <c r="C1770" s="155"/>
      <c r="D1770" s="155"/>
      <c r="E1770" s="293"/>
      <c r="F1770" s="294"/>
      <c r="G1770" s="262" t="s">
        <v>1079</v>
      </c>
      <c r="H1770" s="155"/>
      <c r="I1770" s="257" t="str">
        <f>IF(ISNUMBER(G1770),E1770*G1770,"")</f>
        <v/>
      </c>
      <c r="J1770" s="281"/>
      <c r="K1770" s="19"/>
      <c r="L1770" s="174">
        <v>249</v>
      </c>
    </row>
    <row r="1771" spans="1:12" x14ac:dyDescent="0.25">
      <c r="A1771" s="291"/>
      <c r="B1771" s="292"/>
      <c r="C1771" s="105" t="s">
        <v>144</v>
      </c>
      <c r="D1771" s="105" t="s">
        <v>21</v>
      </c>
      <c r="E1771" s="250">
        <v>5.1999999999999998E-2</v>
      </c>
      <c r="F1771" s="176" t="s">
        <v>1142</v>
      </c>
      <c r="G1771" s="257">
        <v>15.218999999999999</v>
      </c>
      <c r="H1771" s="176" t="s">
        <v>145</v>
      </c>
      <c r="I1771" s="258">
        <f>IF(ISNUMBER(G1771),E1771*G1771,"")</f>
        <v>0.79138799999999998</v>
      </c>
      <c r="J1771" s="295">
        <f>SUM(I1771:I1774)</f>
        <v>7.0764219999999991</v>
      </c>
      <c r="K1771" s="29"/>
      <c r="L1771" s="174">
        <v>249</v>
      </c>
    </row>
    <row r="1772" spans="1:12" x14ac:dyDescent="0.25">
      <c r="A1772" s="291"/>
      <c r="B1772" s="292"/>
      <c r="C1772" s="105" t="s">
        <v>54</v>
      </c>
      <c r="D1772" s="105" t="s">
        <v>21</v>
      </c>
      <c r="E1772" s="250">
        <v>5.1999999999999998E-2</v>
      </c>
      <c r="F1772" s="176" t="s">
        <v>1142</v>
      </c>
      <c r="G1772" s="257">
        <v>19.313499999999998</v>
      </c>
      <c r="H1772" s="176" t="s">
        <v>55</v>
      </c>
      <c r="I1772" s="258">
        <f>IF(ISNUMBER(G1772),E1772*G1772,"")</f>
        <v>1.0043019999999998</v>
      </c>
      <c r="J1772" s="281"/>
      <c r="K1772" s="19"/>
      <c r="L1772" s="174">
        <v>249</v>
      </c>
    </row>
    <row r="1773" spans="1:12" ht="25.5" x14ac:dyDescent="0.25">
      <c r="A1773" s="291"/>
      <c r="B1773" s="292"/>
      <c r="C1773" s="105" t="s">
        <v>1143</v>
      </c>
      <c r="D1773" s="105" t="s">
        <v>184</v>
      </c>
      <c r="E1773" s="250">
        <v>1.19</v>
      </c>
      <c r="F1773" s="176" t="s">
        <v>1142</v>
      </c>
      <c r="G1773" s="258">
        <v>4.41</v>
      </c>
      <c r="H1773" s="176" t="s">
        <v>33</v>
      </c>
      <c r="I1773" s="258">
        <f>IF(ISNUMBER(G1773),E1773*G1773,"")</f>
        <v>5.2478999999999996</v>
      </c>
      <c r="J1773" s="281"/>
      <c r="K1773" s="19"/>
      <c r="L1773" s="174">
        <v>249</v>
      </c>
    </row>
    <row r="1774" spans="1:12" x14ac:dyDescent="0.25">
      <c r="A1774" s="291"/>
      <c r="B1774" s="292"/>
      <c r="C1774" s="105" t="s">
        <v>1129</v>
      </c>
      <c r="D1774" s="105" t="s">
        <v>32</v>
      </c>
      <c r="E1774" s="250">
        <v>8.9999999999999993E-3</v>
      </c>
      <c r="F1774" s="176" t="s">
        <v>1142</v>
      </c>
      <c r="G1774" s="258">
        <v>3.6479999999999997</v>
      </c>
      <c r="H1774" s="176" t="s">
        <v>1130</v>
      </c>
      <c r="I1774" s="258">
        <f>IF(ISNUMBER(G1774),E1774*G1774,"")</f>
        <v>3.2831999999999993E-2</v>
      </c>
      <c r="J1774" s="281"/>
      <c r="K1774" s="19"/>
      <c r="L1774" s="174">
        <v>249</v>
      </c>
    </row>
    <row r="1775" spans="1:12" ht="15.75" thickBot="1" x14ac:dyDescent="0.3">
      <c r="A1775" s="296"/>
      <c r="B1775" s="297"/>
      <c r="C1775" s="105"/>
      <c r="D1775" s="105"/>
      <c r="E1775" s="250"/>
      <c r="F1775" s="176"/>
      <c r="G1775" s="257" t="s">
        <v>1079</v>
      </c>
      <c r="H1775" s="176"/>
      <c r="I1775" s="257" t="str">
        <f>IF(ISNUMBER(G1775),E1775*G1775,"")</f>
        <v/>
      </c>
      <c r="J1775" s="281"/>
      <c r="K1775" s="19"/>
      <c r="L1775" s="174">
        <v>249</v>
      </c>
    </row>
    <row r="1776" spans="1:12" ht="15.75" thickBot="1" x14ac:dyDescent="0.3">
      <c r="A1776" s="288" t="s">
        <v>1144</v>
      </c>
      <c r="B1776" s="289" t="str">
        <f>INDEX(Orçamentária!A:B,MATCH(Composições!A1776,Orçamentária!A:A,0),2)</f>
        <v>Condutor 4 mm²</v>
      </c>
      <c r="C1776" s="274"/>
      <c r="D1776" s="265" t="str">
        <f>TRIM(INDEX(Orçamentária!C:C,MATCH(Composições!A1776,Orçamentária!A:A,0),1))</f>
        <v>m</v>
      </c>
      <c r="E1776" s="290"/>
      <c r="F1776" s="259" t="s">
        <v>1145</v>
      </c>
      <c r="G1776" s="260" t="s">
        <v>1079</v>
      </c>
      <c r="H1776" s="261"/>
      <c r="I1776" s="261" t="str">
        <f>IF(ISNUMBER(G1776),E1776*G1776,"")</f>
        <v/>
      </c>
      <c r="J1776" s="280"/>
      <c r="K1776" s="18"/>
      <c r="L1776" s="174">
        <v>126</v>
      </c>
    </row>
    <row r="1777" spans="1:12" x14ac:dyDescent="0.25">
      <c r="A1777" s="291"/>
      <c r="B1777" s="292"/>
      <c r="C1777" s="155"/>
      <c r="D1777" s="155"/>
      <c r="E1777" s="293"/>
      <c r="F1777" s="294"/>
      <c r="G1777" s="262" t="s">
        <v>1079</v>
      </c>
      <c r="H1777" s="155"/>
      <c r="I1777" s="257" t="str">
        <f>IF(ISNUMBER(G1777),E1777*G1777,"")</f>
        <v/>
      </c>
      <c r="J1777" s="281"/>
      <c r="K1777" s="19"/>
      <c r="L1777" s="174">
        <v>126</v>
      </c>
    </row>
    <row r="1778" spans="1:12" x14ac:dyDescent="0.25">
      <c r="A1778" s="291"/>
      <c r="B1778" s="292"/>
      <c r="C1778" s="105" t="s">
        <v>144</v>
      </c>
      <c r="D1778" s="105" t="s">
        <v>21</v>
      </c>
      <c r="E1778" s="250">
        <v>0.04</v>
      </c>
      <c r="F1778" s="176" t="s">
        <v>1146</v>
      </c>
      <c r="G1778" s="257">
        <v>15.218999999999999</v>
      </c>
      <c r="H1778" s="176" t="s">
        <v>145</v>
      </c>
      <c r="I1778" s="258">
        <f>IF(ISNUMBER(G1778),E1778*G1778,"")</f>
        <v>0.60875999999999997</v>
      </c>
      <c r="J1778" s="295">
        <f>SUM(I1778:I1781)</f>
        <v>3.5085319999999998</v>
      </c>
      <c r="K1778" s="29"/>
      <c r="L1778" s="174">
        <v>126</v>
      </c>
    </row>
    <row r="1779" spans="1:12" x14ac:dyDescent="0.25">
      <c r="A1779" s="291"/>
      <c r="B1779" s="292"/>
      <c r="C1779" s="105" t="s">
        <v>54</v>
      </c>
      <c r="D1779" s="105" t="s">
        <v>21</v>
      </c>
      <c r="E1779" s="250">
        <v>0.04</v>
      </c>
      <c r="F1779" s="176" t="s">
        <v>1146</v>
      </c>
      <c r="G1779" s="257">
        <v>19.313499999999998</v>
      </c>
      <c r="H1779" s="176" t="s">
        <v>55</v>
      </c>
      <c r="I1779" s="258">
        <f>IF(ISNUMBER(G1779),E1779*G1779,"")</f>
        <v>0.77253999999999989</v>
      </c>
      <c r="J1779" s="281"/>
      <c r="K1779" s="19"/>
      <c r="L1779" s="174">
        <v>126</v>
      </c>
    </row>
    <row r="1780" spans="1:12" ht="25.5" x14ac:dyDescent="0.25">
      <c r="A1780" s="291"/>
      <c r="B1780" s="292"/>
      <c r="C1780" s="105" t="s">
        <v>1147</v>
      </c>
      <c r="D1780" s="105" t="s">
        <v>184</v>
      </c>
      <c r="E1780" s="250">
        <v>1.19</v>
      </c>
      <c r="F1780" s="176" t="s">
        <v>1146</v>
      </c>
      <c r="G1780" s="258">
        <v>1.76</v>
      </c>
      <c r="H1780" s="176" t="s">
        <v>33</v>
      </c>
      <c r="I1780" s="258">
        <f>IF(ISNUMBER(G1780),E1780*G1780,"")</f>
        <v>2.0943999999999998</v>
      </c>
      <c r="J1780" s="281"/>
      <c r="K1780" s="19"/>
      <c r="L1780" s="174">
        <v>126</v>
      </c>
    </row>
    <row r="1781" spans="1:12" x14ac:dyDescent="0.25">
      <c r="A1781" s="291"/>
      <c r="B1781" s="292"/>
      <c r="C1781" s="105" t="s">
        <v>1129</v>
      </c>
      <c r="D1781" s="105" t="s">
        <v>32</v>
      </c>
      <c r="E1781" s="250">
        <v>8.9999999999999993E-3</v>
      </c>
      <c r="F1781" s="176" t="s">
        <v>1146</v>
      </c>
      <c r="G1781" s="258">
        <v>3.6479999999999997</v>
      </c>
      <c r="H1781" s="176" t="s">
        <v>1130</v>
      </c>
      <c r="I1781" s="258">
        <f>IF(ISNUMBER(G1781),E1781*G1781,"")</f>
        <v>3.2831999999999993E-2</v>
      </c>
      <c r="J1781" s="281"/>
      <c r="K1781" s="19"/>
      <c r="L1781" s="174">
        <v>126</v>
      </c>
    </row>
    <row r="1782" spans="1:12" ht="15.75" thickBot="1" x14ac:dyDescent="0.3">
      <c r="A1782" s="296"/>
      <c r="B1782" s="297"/>
      <c r="C1782" s="105"/>
      <c r="D1782" s="105"/>
      <c r="E1782" s="250"/>
      <c r="F1782" s="176"/>
      <c r="G1782" s="257" t="s">
        <v>1079</v>
      </c>
      <c r="H1782" s="176"/>
      <c r="I1782" s="257" t="str">
        <f>IF(ISNUMBER(G1782),E1782*G1782,"")</f>
        <v/>
      </c>
      <c r="J1782" s="281"/>
      <c r="K1782" s="19"/>
      <c r="L1782" s="174">
        <v>126</v>
      </c>
    </row>
    <row r="1783" spans="1:12" ht="15.75" hidden="1" thickBot="1" x14ac:dyDescent="0.3">
      <c r="A1783" s="180" t="s">
        <v>1148</v>
      </c>
      <c r="B1783" s="178" t="str">
        <f>INDEX(Orçamentária!A:B,MATCH(Composições!A1783,Orçamentária!A:A,0),2)</f>
        <v>Condutor 4x2,5 mm²</v>
      </c>
      <c r="C1783" s="30"/>
      <c r="D1783" s="13" t="str">
        <f>TRIM(INDEX(Orçamentária!C:C,MATCH(Composições!A1783,Orçamentária!A:A,0),1))</f>
        <v>m</v>
      </c>
      <c r="E1783" s="14"/>
      <c r="F1783" s="15" t="s">
        <v>1125</v>
      </c>
      <c r="G1783" s="31" t="s">
        <v>1079</v>
      </c>
      <c r="H1783" s="16"/>
      <c r="I1783" s="16" t="str">
        <f>IF(ISNUMBER(G1783),E1783*G1783,"")</f>
        <v/>
      </c>
      <c r="J1783" s="17"/>
      <c r="K1783" s="18"/>
      <c r="L1783" s="174">
        <v>0</v>
      </c>
    </row>
    <row r="1784" spans="1:12" ht="15.75" hidden="1" thickBot="1" x14ac:dyDescent="0.3">
      <c r="A1784" s="181"/>
      <c r="B1784" s="179"/>
      <c r="C1784" s="20"/>
      <c r="D1784" s="20"/>
      <c r="E1784" s="21"/>
      <c r="F1784" s="22"/>
      <c r="G1784" s="32" t="s">
        <v>1079</v>
      </c>
      <c r="H1784" s="20"/>
      <c r="I1784" s="19" t="str">
        <f>IF(ISNUMBER(G1784),E1784*G1784,"")</f>
        <v/>
      </c>
      <c r="J1784" s="24"/>
      <c r="K1784" s="19"/>
      <c r="L1784" s="174">
        <v>0</v>
      </c>
    </row>
    <row r="1785" spans="1:12" ht="15.75" hidden="1" thickBot="1" x14ac:dyDescent="0.3">
      <c r="A1785" s="181"/>
      <c r="B1785" s="179"/>
      <c r="C1785" s="25" t="s">
        <v>144</v>
      </c>
      <c r="D1785" s="25" t="s">
        <v>21</v>
      </c>
      <c r="E1785" s="26">
        <v>8.9999999999999993E-3</v>
      </c>
      <c r="F1785" s="27" t="s">
        <v>1126</v>
      </c>
      <c r="G1785" s="19">
        <v>15.218999999999999</v>
      </c>
      <c r="H1785" s="27" t="s">
        <v>145</v>
      </c>
      <c r="I1785" s="23">
        <f>IF(ISNUMBER(G1785),E1785*G1785,"")</f>
        <v>0.13697099999999998</v>
      </c>
      <c r="J1785" s="28">
        <f>SUM(I1785:I1788)</f>
        <v>3.0893624999999996</v>
      </c>
      <c r="K1785" s="29"/>
      <c r="L1785" s="174">
        <v>0</v>
      </c>
    </row>
    <row r="1786" spans="1:12" ht="15.75" hidden="1" thickBot="1" x14ac:dyDescent="0.3">
      <c r="A1786" s="181"/>
      <c r="B1786" s="179"/>
      <c r="C1786" s="25" t="s">
        <v>54</v>
      </c>
      <c r="D1786" s="25" t="s">
        <v>21</v>
      </c>
      <c r="E1786" s="26">
        <v>8.9999999999999993E-3</v>
      </c>
      <c r="F1786" s="27" t="s">
        <v>1126</v>
      </c>
      <c r="G1786" s="19">
        <v>19.313499999999998</v>
      </c>
      <c r="H1786" s="27" t="s">
        <v>55</v>
      </c>
      <c r="I1786" s="23">
        <f>IF(ISNUMBER(G1786),E1786*G1786,"")</f>
        <v>0.17382149999999996</v>
      </c>
      <c r="J1786" s="24"/>
      <c r="K1786" s="19"/>
      <c r="L1786" s="174">
        <v>0</v>
      </c>
    </row>
    <row r="1787" spans="1:12" ht="26.25" hidden="1" thickBot="1" x14ac:dyDescent="0.3">
      <c r="A1787" s="181"/>
      <c r="B1787" s="179"/>
      <c r="C1787" s="25" t="s">
        <v>1149</v>
      </c>
      <c r="D1787" s="25" t="s">
        <v>184</v>
      </c>
      <c r="E1787" s="26">
        <v>1.0269999999999999</v>
      </c>
      <c r="F1787" s="27" t="s">
        <v>1126</v>
      </c>
      <c r="G1787" s="23">
        <v>2.67</v>
      </c>
      <c r="H1787" s="27" t="s">
        <v>33</v>
      </c>
      <c r="I1787" s="23">
        <f>IF(ISNUMBER(G1787),E1787*G1787,"")</f>
        <v>2.7420899999999997</v>
      </c>
      <c r="J1787" s="24"/>
      <c r="K1787" s="19"/>
      <c r="L1787" s="174">
        <v>0</v>
      </c>
    </row>
    <row r="1788" spans="1:12" ht="15.75" hidden="1" thickBot="1" x14ac:dyDescent="0.3">
      <c r="A1788" s="181"/>
      <c r="B1788" s="179"/>
      <c r="C1788" s="25" t="s">
        <v>1129</v>
      </c>
      <c r="D1788" s="25" t="s">
        <v>32</v>
      </c>
      <c r="E1788" s="26">
        <v>0.01</v>
      </c>
      <c r="F1788" s="27" t="s">
        <v>1126</v>
      </c>
      <c r="G1788" s="23">
        <v>3.6479999999999997</v>
      </c>
      <c r="H1788" s="27" t="s">
        <v>1130</v>
      </c>
      <c r="I1788" s="23">
        <f>IF(ISNUMBER(G1788),E1788*G1788,"")</f>
        <v>3.6479999999999999E-2</v>
      </c>
      <c r="J1788" s="24"/>
      <c r="K1788" s="19"/>
      <c r="L1788" s="174">
        <v>0</v>
      </c>
    </row>
    <row r="1789" spans="1:12" ht="15.75" hidden="1" thickBot="1" x14ac:dyDescent="0.3">
      <c r="A1789" s="182"/>
      <c r="B1789" s="183"/>
      <c r="C1789" s="25"/>
      <c r="D1789" s="25"/>
      <c r="E1789" s="26"/>
      <c r="F1789" s="27"/>
      <c r="G1789" s="19" t="s">
        <v>1079</v>
      </c>
      <c r="H1789" s="27"/>
      <c r="I1789" s="19" t="str">
        <f>IF(ISNUMBER(G1789),E1789*G1789,"")</f>
        <v/>
      </c>
      <c r="J1789" s="24"/>
      <c r="K1789" s="19"/>
      <c r="L1789" s="174">
        <v>0</v>
      </c>
    </row>
    <row r="1790" spans="1:12" ht="15.75" thickBot="1" x14ac:dyDescent="0.3">
      <c r="A1790" s="288" t="s">
        <v>1150</v>
      </c>
      <c r="B1790" s="289" t="str">
        <f>INDEX(Orçamentária!A:B,MATCH(Composições!A1790,Orçamentária!A:A,0),2)</f>
        <v>Condutor 6 mm²</v>
      </c>
      <c r="C1790" s="274"/>
      <c r="D1790" s="265" t="str">
        <f>TRIM(INDEX(Orçamentária!C:C,MATCH(Composições!A1790,Orçamentária!A:A,0),1))</f>
        <v>m</v>
      </c>
      <c r="E1790" s="290"/>
      <c r="F1790" s="259" t="s">
        <v>1141</v>
      </c>
      <c r="G1790" s="260" t="s">
        <v>1079</v>
      </c>
      <c r="H1790" s="261"/>
      <c r="I1790" s="261" t="str">
        <f>IF(ISNUMBER(G1790),E1790*G1790,"")</f>
        <v/>
      </c>
      <c r="J1790" s="280"/>
      <c r="K1790" s="18"/>
      <c r="L1790" s="174">
        <v>49.3</v>
      </c>
    </row>
    <row r="1791" spans="1:12" x14ac:dyDescent="0.25">
      <c r="A1791" s="291"/>
      <c r="B1791" s="292"/>
      <c r="C1791" s="155"/>
      <c r="D1791" s="155"/>
      <c r="E1791" s="293"/>
      <c r="F1791" s="294"/>
      <c r="G1791" s="262" t="s">
        <v>1079</v>
      </c>
      <c r="H1791" s="155"/>
      <c r="I1791" s="257" t="str">
        <f>IF(ISNUMBER(G1791),E1791*G1791,"")</f>
        <v/>
      </c>
      <c r="J1791" s="281"/>
      <c r="K1791" s="19"/>
      <c r="L1791" s="174">
        <v>49.3</v>
      </c>
    </row>
    <row r="1792" spans="1:12" x14ac:dyDescent="0.25">
      <c r="A1792" s="291"/>
      <c r="B1792" s="292"/>
      <c r="C1792" s="105" t="s">
        <v>144</v>
      </c>
      <c r="D1792" s="105" t="s">
        <v>21</v>
      </c>
      <c r="E1792" s="250">
        <v>5.1999999999999998E-2</v>
      </c>
      <c r="F1792" s="176" t="s">
        <v>1142</v>
      </c>
      <c r="G1792" s="257">
        <v>15.218999999999999</v>
      </c>
      <c r="H1792" s="176" t="s">
        <v>145</v>
      </c>
      <c r="I1792" s="257">
        <f>IF(ISNUMBER(G1792),E1792*G1792,"")</f>
        <v>0.79138799999999998</v>
      </c>
      <c r="J1792" s="295">
        <f>SUM(I1792:I1795)</f>
        <v>5.2200219999999993</v>
      </c>
      <c r="K1792" s="29"/>
      <c r="L1792" s="174">
        <v>49.3</v>
      </c>
    </row>
    <row r="1793" spans="1:12" x14ac:dyDescent="0.25">
      <c r="A1793" s="291"/>
      <c r="B1793" s="292"/>
      <c r="C1793" s="105" t="s">
        <v>54</v>
      </c>
      <c r="D1793" s="105" t="s">
        <v>21</v>
      </c>
      <c r="E1793" s="250">
        <v>5.1999999999999998E-2</v>
      </c>
      <c r="F1793" s="176" t="s">
        <v>1142</v>
      </c>
      <c r="G1793" s="257">
        <v>19.313499999999998</v>
      </c>
      <c r="H1793" s="176" t="s">
        <v>55</v>
      </c>
      <c r="I1793" s="257">
        <f>IF(ISNUMBER(G1793),E1793*G1793,"")</f>
        <v>1.0043019999999998</v>
      </c>
      <c r="J1793" s="281"/>
      <c r="K1793" s="19"/>
      <c r="L1793" s="174">
        <v>49.3</v>
      </c>
    </row>
    <row r="1794" spans="1:12" ht="25.5" x14ac:dyDescent="0.25">
      <c r="A1794" s="291"/>
      <c r="B1794" s="292"/>
      <c r="C1794" s="105" t="s">
        <v>1151</v>
      </c>
      <c r="D1794" s="105" t="s">
        <v>184</v>
      </c>
      <c r="E1794" s="250">
        <v>1.19</v>
      </c>
      <c r="F1794" s="176" t="s">
        <v>1142</v>
      </c>
      <c r="G1794" s="258">
        <v>2.85</v>
      </c>
      <c r="H1794" s="176" t="s">
        <v>33</v>
      </c>
      <c r="I1794" s="257">
        <f>IF(ISNUMBER(G1794),E1794*G1794,"")</f>
        <v>3.3914999999999997</v>
      </c>
      <c r="J1794" s="281"/>
      <c r="K1794" s="19"/>
      <c r="L1794" s="174">
        <v>49.3</v>
      </c>
    </row>
    <row r="1795" spans="1:12" x14ac:dyDescent="0.25">
      <c r="A1795" s="291"/>
      <c r="B1795" s="292"/>
      <c r="C1795" s="105" t="s">
        <v>1129</v>
      </c>
      <c r="D1795" s="105" t="s">
        <v>32</v>
      </c>
      <c r="E1795" s="250">
        <v>8.9999999999999993E-3</v>
      </c>
      <c r="F1795" s="176" t="s">
        <v>1142</v>
      </c>
      <c r="G1795" s="258">
        <v>3.6479999999999997</v>
      </c>
      <c r="H1795" s="176" t="s">
        <v>1130</v>
      </c>
      <c r="I1795" s="257">
        <f>IF(ISNUMBER(G1795),E1795*G1795,"")</f>
        <v>3.2831999999999993E-2</v>
      </c>
      <c r="J1795" s="281"/>
      <c r="K1795" s="19"/>
      <c r="L1795" s="174">
        <v>49.3</v>
      </c>
    </row>
    <row r="1796" spans="1:12" ht="15.75" thickBot="1" x14ac:dyDescent="0.3">
      <c r="A1796" s="296"/>
      <c r="B1796" s="297"/>
      <c r="C1796" s="105"/>
      <c r="D1796" s="105"/>
      <c r="E1796" s="250"/>
      <c r="F1796" s="176"/>
      <c r="G1796" s="257" t="s">
        <v>1079</v>
      </c>
      <c r="H1796" s="176"/>
      <c r="I1796" s="257" t="str">
        <f>IF(ISNUMBER(G1796),E1796*G1796,"")</f>
        <v/>
      </c>
      <c r="J1796" s="281"/>
      <c r="K1796" s="19"/>
      <c r="L1796" s="174">
        <v>49.3</v>
      </c>
    </row>
    <row r="1797" spans="1:12" ht="15.75" thickBot="1" x14ac:dyDescent="0.3">
      <c r="A1797" s="288" t="s">
        <v>1152</v>
      </c>
      <c r="B1797" s="289" t="str">
        <f>INDEX(Orçamentária!A:B,MATCH(Composições!A1797,Orçamentária!A:A,0),2)</f>
        <v>Quadro elétrico TTA</v>
      </c>
      <c r="C1797" s="274"/>
      <c r="D1797" s="265" t="str">
        <f>TRIM(INDEX(Orçamentária!C:C,MATCH(Composições!A1797,Orçamentária!A:A,0),1))</f>
        <v>un</v>
      </c>
      <c r="E1797" s="290"/>
      <c r="F1797" s="259" t="s">
        <v>1153</v>
      </c>
      <c r="G1797" s="260" t="s">
        <v>1079</v>
      </c>
      <c r="H1797" s="261"/>
      <c r="I1797" s="261" t="str">
        <f>IF(ISNUMBER(G1797),E1797*G1797,"")</f>
        <v/>
      </c>
      <c r="J1797" s="280"/>
      <c r="K1797" s="18"/>
      <c r="L1797" s="174">
        <v>2</v>
      </c>
    </row>
    <row r="1798" spans="1:12" x14ac:dyDescent="0.25">
      <c r="A1798" s="291"/>
      <c r="B1798" s="292"/>
      <c r="C1798" s="155"/>
      <c r="D1798" s="155"/>
      <c r="E1798" s="293"/>
      <c r="F1798" s="294"/>
      <c r="G1798" s="262" t="s">
        <v>1079</v>
      </c>
      <c r="H1798" s="155"/>
      <c r="I1798" s="257" t="str">
        <f>IF(ISNUMBER(G1798),E1798*G1798,"")</f>
        <v/>
      </c>
      <c r="J1798" s="281"/>
      <c r="K1798" s="19"/>
      <c r="L1798" s="174">
        <v>2</v>
      </c>
    </row>
    <row r="1799" spans="1:12" ht="51" x14ac:dyDescent="0.25">
      <c r="A1799" s="291"/>
      <c r="B1799" s="292"/>
      <c r="C1799" s="105" t="s">
        <v>1154</v>
      </c>
      <c r="D1799" s="271" t="s">
        <v>32</v>
      </c>
      <c r="E1799" s="250">
        <v>1</v>
      </c>
      <c r="F1799" s="176" t="s">
        <v>1155</v>
      </c>
      <c r="G1799" s="258">
        <v>10598.35</v>
      </c>
      <c r="H1799" s="176" t="s">
        <v>33</v>
      </c>
      <c r="I1799" s="257">
        <f>IF(ISNUMBER(G1799),E1799*G1799,"")</f>
        <v>10598.35</v>
      </c>
      <c r="J1799" s="295">
        <f>SUM(I1799:I1801)</f>
        <v>10719.213750000001</v>
      </c>
      <c r="K1799" s="29"/>
      <c r="L1799" s="174">
        <v>2</v>
      </c>
    </row>
    <row r="1800" spans="1:12" x14ac:dyDescent="0.25">
      <c r="A1800" s="291"/>
      <c r="B1800" s="292"/>
      <c r="C1800" s="105" t="s">
        <v>144</v>
      </c>
      <c r="D1800" s="271" t="s">
        <v>21</v>
      </c>
      <c r="E1800" s="250">
        <v>3.5</v>
      </c>
      <c r="F1800" s="176" t="s">
        <v>1155</v>
      </c>
      <c r="G1800" s="257">
        <v>15.218999999999999</v>
      </c>
      <c r="H1800" s="176" t="s">
        <v>145</v>
      </c>
      <c r="I1800" s="257">
        <f>IF(ISNUMBER(G1800),E1800*G1800,"")</f>
        <v>53.266500000000001</v>
      </c>
      <c r="J1800" s="281"/>
      <c r="K1800" s="19"/>
      <c r="L1800" s="174">
        <v>2</v>
      </c>
    </row>
    <row r="1801" spans="1:12" x14ac:dyDescent="0.25">
      <c r="A1801" s="291"/>
      <c r="B1801" s="292"/>
      <c r="C1801" s="105" t="s">
        <v>54</v>
      </c>
      <c r="D1801" s="271" t="s">
        <v>21</v>
      </c>
      <c r="E1801" s="250">
        <v>3.5</v>
      </c>
      <c r="F1801" s="176" t="s">
        <v>1155</v>
      </c>
      <c r="G1801" s="257">
        <v>19.313499999999998</v>
      </c>
      <c r="H1801" s="176" t="s">
        <v>55</v>
      </c>
      <c r="I1801" s="258">
        <f>IF(ISNUMBER(G1801),E1801*G1801,"")</f>
        <v>67.597249999999988</v>
      </c>
      <c r="J1801" s="281"/>
      <c r="K1801" s="19"/>
      <c r="L1801" s="174">
        <v>2</v>
      </c>
    </row>
    <row r="1802" spans="1:12" ht="15.75" thickBot="1" x14ac:dyDescent="0.3">
      <c r="A1802" s="291"/>
      <c r="B1802" s="297"/>
      <c r="C1802" s="105"/>
      <c r="D1802" s="105"/>
      <c r="E1802" s="250"/>
      <c r="F1802" s="176"/>
      <c r="G1802" s="257" t="s">
        <v>1079</v>
      </c>
      <c r="H1802" s="176"/>
      <c r="I1802" s="257" t="str">
        <f>IF(ISNUMBER(G1802),E1802*G1802,"")</f>
        <v/>
      </c>
      <c r="J1802" s="281"/>
      <c r="K1802" s="19"/>
      <c r="L1802" s="174">
        <v>2</v>
      </c>
    </row>
    <row r="1803" spans="1:12" ht="15.75" hidden="1" thickBot="1" x14ac:dyDescent="0.3">
      <c r="A1803" s="180" t="s">
        <v>1156</v>
      </c>
      <c r="B1803" s="178" t="str">
        <f>INDEX(Orçamentária!A:B,MATCH(Composições!A1803,Orçamentária!A:A,0),2)</f>
        <v>Instalação de fancolete reaproveitado</v>
      </c>
      <c r="C1803" s="30"/>
      <c r="D1803" s="13" t="str">
        <f>TRIM(INDEX(Orçamentária!C:C,MATCH(Composições!A1803,Orçamentária!A:A,0),1))</f>
        <v>un</v>
      </c>
      <c r="E1803" s="14"/>
      <c r="F1803" s="15" t="s">
        <v>17</v>
      </c>
      <c r="G1803" s="31" t="s">
        <v>1079</v>
      </c>
      <c r="H1803" s="16"/>
      <c r="I1803" s="16" t="str">
        <f>IF(ISNUMBER(G1803),E1803*G1803,"")</f>
        <v/>
      </c>
      <c r="J1803" s="17"/>
      <c r="K1803" s="18"/>
      <c r="L1803" s="174">
        <v>0</v>
      </c>
    </row>
    <row r="1804" spans="1:12" ht="15.75" hidden="1" thickBot="1" x14ac:dyDescent="0.3">
      <c r="A1804" s="181"/>
      <c r="B1804" s="179"/>
      <c r="C1804" s="20"/>
      <c r="D1804" s="20"/>
      <c r="E1804" s="21"/>
      <c r="F1804" s="22"/>
      <c r="G1804" s="32" t="s">
        <v>1079</v>
      </c>
      <c r="H1804" s="20"/>
      <c r="I1804" s="19" t="str">
        <f>IF(ISNUMBER(G1804),E1804*G1804,"")</f>
        <v/>
      </c>
      <c r="J1804" s="24"/>
      <c r="K1804" s="19"/>
      <c r="L1804" s="174">
        <v>0</v>
      </c>
    </row>
    <row r="1805" spans="1:12" ht="15.75" hidden="1" thickBot="1" x14ac:dyDescent="0.3">
      <c r="A1805" s="181"/>
      <c r="B1805" s="179"/>
      <c r="C1805" s="25" t="s">
        <v>96</v>
      </c>
      <c r="D1805" s="36" t="s">
        <v>21</v>
      </c>
      <c r="E1805" s="26">
        <v>2</v>
      </c>
      <c r="F1805" s="27" t="s">
        <v>17</v>
      </c>
      <c r="G1805" s="19">
        <v>15.275999999999998</v>
      </c>
      <c r="H1805" s="27" t="s">
        <v>98</v>
      </c>
      <c r="I1805" s="23">
        <f>IF(ISNUMBER(G1805),E1805*G1805,"")</f>
        <v>30.551999999999996</v>
      </c>
      <c r="J1805" s="28">
        <f>SUM(I1805:I1806)</f>
        <v>70.509</v>
      </c>
      <c r="K1805" s="29"/>
      <c r="L1805" s="174">
        <v>0</v>
      </c>
    </row>
    <row r="1806" spans="1:12" ht="26.25" hidden="1" thickBot="1" x14ac:dyDescent="0.3">
      <c r="A1806" s="181"/>
      <c r="B1806" s="179"/>
      <c r="C1806" s="25" t="s">
        <v>1157</v>
      </c>
      <c r="D1806" s="36" t="s">
        <v>21</v>
      </c>
      <c r="E1806" s="26">
        <v>2</v>
      </c>
      <c r="F1806" s="27" t="s">
        <v>17</v>
      </c>
      <c r="G1806" s="19">
        <v>19.9785</v>
      </c>
      <c r="H1806" s="27" t="s">
        <v>161</v>
      </c>
      <c r="I1806" s="19">
        <f>IF(ISNUMBER(G1806),E1806*G1806,"")</f>
        <v>39.957000000000001</v>
      </c>
      <c r="J1806" s="24"/>
      <c r="K1806" s="19"/>
      <c r="L1806" s="174">
        <v>0</v>
      </c>
    </row>
    <row r="1807" spans="1:12" ht="15.75" hidden="1" thickBot="1" x14ac:dyDescent="0.3">
      <c r="A1807" s="182"/>
      <c r="B1807" s="183"/>
      <c r="C1807" s="25"/>
      <c r="D1807" s="25"/>
      <c r="E1807" s="26"/>
      <c r="F1807" s="27"/>
      <c r="G1807" s="19" t="s">
        <v>1079</v>
      </c>
      <c r="H1807" s="27"/>
      <c r="I1807" s="19" t="str">
        <f>IF(ISNUMBER(G1807),E1807*G1807,"")</f>
        <v/>
      </c>
      <c r="J1807" s="24"/>
      <c r="K1807" s="19"/>
      <c r="L1807" s="174">
        <v>0</v>
      </c>
    </row>
    <row r="1808" spans="1:12" ht="15.75" hidden="1" thickBot="1" x14ac:dyDescent="0.3">
      <c r="A1808" s="180" t="s">
        <v>1158</v>
      </c>
      <c r="B1808" s="178" t="str">
        <f>INDEX(Orçamentária!A:B,MATCH(Composições!A1808,Orçamentária!A:A,0),2)</f>
        <v>Instalação de split reaproveitado</v>
      </c>
      <c r="C1808" s="30"/>
      <c r="D1808" s="13" t="str">
        <f>TRIM(INDEX(Orçamentária!C:C,MATCH(Composições!A1808,Orçamentária!A:A,0),1))</f>
        <v>un</v>
      </c>
      <c r="E1808" s="14"/>
      <c r="F1808" s="15" t="s">
        <v>17</v>
      </c>
      <c r="G1808" s="31" t="s">
        <v>1079</v>
      </c>
      <c r="H1808" s="16"/>
      <c r="I1808" s="16" t="str">
        <f>IF(ISNUMBER(G1808),E1808*G1808,"")</f>
        <v/>
      </c>
      <c r="J1808" s="17"/>
      <c r="K1808" s="18"/>
      <c r="L1808" s="174">
        <v>0</v>
      </c>
    </row>
    <row r="1809" spans="1:12" ht="15.75" hidden="1" thickBot="1" x14ac:dyDescent="0.3">
      <c r="A1809" s="181"/>
      <c r="B1809" s="179"/>
      <c r="C1809" s="20"/>
      <c r="D1809" s="20"/>
      <c r="E1809" s="21"/>
      <c r="F1809" s="22"/>
      <c r="G1809" s="32" t="s">
        <v>1079</v>
      </c>
      <c r="H1809" s="20"/>
      <c r="I1809" s="19" t="str">
        <f>IF(ISNUMBER(G1809),E1809*G1809,"")</f>
        <v/>
      </c>
      <c r="J1809" s="24"/>
      <c r="K1809" s="19"/>
      <c r="L1809" s="174">
        <v>0</v>
      </c>
    </row>
    <row r="1810" spans="1:12" ht="15.75" hidden="1" thickBot="1" x14ac:dyDescent="0.3">
      <c r="A1810" s="181"/>
      <c r="B1810" s="179"/>
      <c r="C1810" s="25" t="s">
        <v>96</v>
      </c>
      <c r="D1810" s="36" t="s">
        <v>21</v>
      </c>
      <c r="E1810" s="26">
        <v>3</v>
      </c>
      <c r="F1810" s="27" t="s">
        <v>17</v>
      </c>
      <c r="G1810" s="19">
        <v>15.275999999999998</v>
      </c>
      <c r="H1810" s="27" t="s">
        <v>98</v>
      </c>
      <c r="I1810" s="23">
        <f>IF(ISNUMBER(G1810),E1810*G1810,"")</f>
        <v>45.827999999999996</v>
      </c>
      <c r="J1810" s="28">
        <f>SUM(I1810:I1811)</f>
        <v>105.76349999999999</v>
      </c>
      <c r="K1810" s="29"/>
      <c r="L1810" s="174">
        <v>0</v>
      </c>
    </row>
    <row r="1811" spans="1:12" ht="26.25" hidden="1" thickBot="1" x14ac:dyDescent="0.3">
      <c r="A1811" s="181"/>
      <c r="B1811" s="179"/>
      <c r="C1811" s="25" t="s">
        <v>1157</v>
      </c>
      <c r="D1811" s="36" t="s">
        <v>21</v>
      </c>
      <c r="E1811" s="26">
        <v>3</v>
      </c>
      <c r="F1811" s="27" t="s">
        <v>17</v>
      </c>
      <c r="G1811" s="19">
        <v>19.9785</v>
      </c>
      <c r="H1811" s="27" t="s">
        <v>161</v>
      </c>
      <c r="I1811" s="19">
        <f>IF(ISNUMBER(G1811),E1811*G1811,"")</f>
        <v>59.935500000000005</v>
      </c>
      <c r="J1811" s="24"/>
      <c r="K1811" s="19"/>
      <c r="L1811" s="174">
        <v>0</v>
      </c>
    </row>
    <row r="1812" spans="1:12" ht="15.75" hidden="1" thickBot="1" x14ac:dyDescent="0.3">
      <c r="A1812" s="182"/>
      <c r="B1812" s="183"/>
      <c r="C1812" s="25"/>
      <c r="D1812" s="25"/>
      <c r="E1812" s="26"/>
      <c r="F1812" s="27"/>
      <c r="G1812" s="19" t="s">
        <v>1079</v>
      </c>
      <c r="H1812" s="27"/>
      <c r="I1812" s="19" t="str">
        <f>IF(ISNUMBER(G1812),E1812*G1812,"")</f>
        <v/>
      </c>
      <c r="J1812" s="24"/>
      <c r="K1812" s="19"/>
      <c r="L1812" s="174">
        <v>0</v>
      </c>
    </row>
    <row r="1813" spans="1:12" ht="15.75" hidden="1" thickBot="1" x14ac:dyDescent="0.3">
      <c r="A1813" s="180" t="s">
        <v>1159</v>
      </c>
      <c r="B1813" s="178" t="str">
        <f>INDEX(Orçamentária!A:B,MATCH(Composições!A1813,Orçamentária!A:A,0),2)</f>
        <v>Exaustor axial 340 m3/h</v>
      </c>
      <c r="C1813" s="30"/>
      <c r="D1813" s="13" t="str">
        <f>TRIM(INDEX(Orçamentária!C:C,MATCH(Composições!A1813,Orçamentária!A:A,0),1))</f>
        <v>un</v>
      </c>
      <c r="E1813" s="14"/>
      <c r="F1813" s="15" t="s">
        <v>1160</v>
      </c>
      <c r="G1813" s="31" t="s">
        <v>1079</v>
      </c>
      <c r="H1813" s="16"/>
      <c r="I1813" s="16" t="str">
        <f>IF(ISNUMBER(G1813),E1813*G1813,"")</f>
        <v/>
      </c>
      <c r="J1813" s="17"/>
      <c r="K1813" s="18"/>
      <c r="L1813" s="174">
        <v>0</v>
      </c>
    </row>
    <row r="1814" spans="1:12" ht="15.75" hidden="1" thickBot="1" x14ac:dyDescent="0.3">
      <c r="A1814" s="181"/>
      <c r="B1814" s="179"/>
      <c r="C1814" s="20"/>
      <c r="D1814" s="20"/>
      <c r="E1814" s="21"/>
      <c r="F1814" s="22"/>
      <c r="G1814" s="32" t="s">
        <v>1079</v>
      </c>
      <c r="H1814" s="20"/>
      <c r="I1814" s="19" t="str">
        <f>IF(ISNUMBER(G1814),E1814*G1814,"")</f>
        <v/>
      </c>
      <c r="J1814" s="24"/>
      <c r="K1814" s="19"/>
      <c r="L1814" s="174">
        <v>0</v>
      </c>
    </row>
    <row r="1815" spans="1:12" ht="15.75" hidden="1" thickBot="1" x14ac:dyDescent="0.3">
      <c r="A1815" s="181"/>
      <c r="B1815" s="179"/>
      <c r="C1815" s="25" t="s">
        <v>54</v>
      </c>
      <c r="D1815" s="25" t="s">
        <v>21</v>
      </c>
      <c r="E1815" s="26">
        <v>1</v>
      </c>
      <c r="F1815" s="27" t="s">
        <v>1161</v>
      </c>
      <c r="G1815" s="19">
        <v>19.313499999999998</v>
      </c>
      <c r="H1815" s="27" t="s">
        <v>55</v>
      </c>
      <c r="I1815" s="23">
        <f>IF(ISNUMBER(G1815),E1815*G1815,"")</f>
        <v>19.313499999999998</v>
      </c>
      <c r="J1815" s="28">
        <f>SUM(I1815:I1817)</f>
        <v>34.532499999999999</v>
      </c>
      <c r="K1815" s="29"/>
      <c r="L1815" s="174">
        <v>0</v>
      </c>
    </row>
    <row r="1816" spans="1:12" ht="15.75" hidden="1" thickBot="1" x14ac:dyDescent="0.3">
      <c r="A1816" s="181"/>
      <c r="B1816" s="179"/>
      <c r="C1816" s="25" t="s">
        <v>144</v>
      </c>
      <c r="D1816" s="36" t="s">
        <v>21</v>
      </c>
      <c r="E1816" s="26">
        <v>1</v>
      </c>
      <c r="F1816" s="27" t="s">
        <v>1161</v>
      </c>
      <c r="G1816" s="19">
        <v>15.218999999999999</v>
      </c>
      <c r="H1816" s="27" t="s">
        <v>145</v>
      </c>
      <c r="I1816" s="23">
        <f>IF(ISNUMBER(G1816),E1816*G1816,"")</f>
        <v>15.218999999999999</v>
      </c>
      <c r="J1816" s="24"/>
      <c r="K1816" s="19"/>
      <c r="L1816" s="174">
        <v>0</v>
      </c>
    </row>
    <row r="1817" spans="1:12" ht="26.25" hidden="1" thickBot="1" x14ac:dyDescent="0.3">
      <c r="A1817" s="181"/>
      <c r="B1817" s="179"/>
      <c r="C1817" s="25" t="s">
        <v>1162</v>
      </c>
      <c r="D1817" s="25" t="s">
        <v>305</v>
      </c>
      <c r="E1817" s="26">
        <v>1</v>
      </c>
      <c r="F1817" s="27" t="s">
        <v>1161</v>
      </c>
      <c r="G1817" s="23" t="s">
        <v>1079</v>
      </c>
      <c r="H1817" s="27" t="s">
        <v>33</v>
      </c>
      <c r="I1817" s="23" t="str">
        <f>IF(ISNUMBER(G1817),E1817*G1817,"")</f>
        <v/>
      </c>
      <c r="J1817" s="24"/>
      <c r="K1817" s="19"/>
      <c r="L1817" s="174">
        <v>0</v>
      </c>
    </row>
    <row r="1818" spans="1:12" ht="15.75" hidden="1" thickBot="1" x14ac:dyDescent="0.3">
      <c r="A1818" s="182"/>
      <c r="B1818" s="183"/>
      <c r="C1818" s="25"/>
      <c r="D1818" s="25"/>
      <c r="E1818" s="26"/>
      <c r="F1818" s="27"/>
      <c r="G1818" s="19" t="s">
        <v>1079</v>
      </c>
      <c r="H1818" s="27"/>
      <c r="I1818" s="19" t="str">
        <f>IF(ISNUMBER(G1818),E1818*G1818,"")</f>
        <v/>
      </c>
      <c r="J1818" s="24"/>
      <c r="K1818" s="19"/>
      <c r="L1818" s="174">
        <v>0</v>
      </c>
    </row>
    <row r="1819" spans="1:12" ht="15.75" hidden="1" thickBot="1" x14ac:dyDescent="0.3">
      <c r="A1819" s="180" t="s">
        <v>1163</v>
      </c>
      <c r="B1819" s="178" t="str">
        <f>INDEX(Orçamentária!A:B,MATCH(Composições!A1819,Orçamentária!A:A,0),2)</f>
        <v>Exaustor axial 865 m3/h</v>
      </c>
      <c r="C1819" s="30"/>
      <c r="D1819" s="13" t="str">
        <f>TRIM(INDEX(Orçamentária!C:C,MATCH(Composições!A1819,Orçamentária!A:A,0),1))</f>
        <v>un</v>
      </c>
      <c r="E1819" s="14"/>
      <c r="F1819" s="15" t="s">
        <v>1160</v>
      </c>
      <c r="G1819" s="31" t="s">
        <v>1079</v>
      </c>
      <c r="H1819" s="16"/>
      <c r="I1819" s="16" t="str">
        <f>IF(ISNUMBER(G1819),E1819*G1819,"")</f>
        <v/>
      </c>
      <c r="J1819" s="17"/>
      <c r="K1819" s="18"/>
      <c r="L1819" s="174">
        <v>0</v>
      </c>
    </row>
    <row r="1820" spans="1:12" ht="15.75" hidden="1" thickBot="1" x14ac:dyDescent="0.3">
      <c r="A1820" s="181"/>
      <c r="B1820" s="179"/>
      <c r="C1820" s="20"/>
      <c r="D1820" s="20"/>
      <c r="E1820" s="21"/>
      <c r="F1820" s="22"/>
      <c r="G1820" s="32" t="s">
        <v>1079</v>
      </c>
      <c r="H1820" s="20"/>
      <c r="I1820" s="19" t="str">
        <f>IF(ISNUMBER(G1820),E1820*G1820,"")</f>
        <v/>
      </c>
      <c r="J1820" s="24"/>
      <c r="K1820" s="19"/>
      <c r="L1820" s="174">
        <v>0</v>
      </c>
    </row>
    <row r="1821" spans="1:12" ht="15.75" hidden="1" thickBot="1" x14ac:dyDescent="0.3">
      <c r="A1821" s="181"/>
      <c r="B1821" s="179"/>
      <c r="C1821" s="25" t="s">
        <v>54</v>
      </c>
      <c r="D1821" s="25" t="s">
        <v>21</v>
      </c>
      <c r="E1821" s="26">
        <v>1</v>
      </c>
      <c r="F1821" s="27" t="s">
        <v>1161</v>
      </c>
      <c r="G1821" s="19">
        <v>19.313499999999998</v>
      </c>
      <c r="H1821" s="27" t="s">
        <v>55</v>
      </c>
      <c r="I1821" s="23">
        <f>IF(ISNUMBER(G1821),E1821*G1821,"")</f>
        <v>19.313499999999998</v>
      </c>
      <c r="J1821" s="28">
        <f>SUM(I1821:I1823)</f>
        <v>34.532499999999999</v>
      </c>
      <c r="K1821" s="29"/>
      <c r="L1821" s="174">
        <v>0</v>
      </c>
    </row>
    <row r="1822" spans="1:12" ht="15.75" hidden="1" thickBot="1" x14ac:dyDescent="0.3">
      <c r="A1822" s="181"/>
      <c r="B1822" s="179"/>
      <c r="C1822" s="25" t="s">
        <v>144</v>
      </c>
      <c r="D1822" s="36" t="s">
        <v>21</v>
      </c>
      <c r="E1822" s="26">
        <v>1</v>
      </c>
      <c r="F1822" s="27" t="s">
        <v>1161</v>
      </c>
      <c r="G1822" s="19">
        <v>15.218999999999999</v>
      </c>
      <c r="H1822" s="27" t="s">
        <v>145</v>
      </c>
      <c r="I1822" s="23">
        <f>IF(ISNUMBER(G1822),E1822*G1822,"")</f>
        <v>15.218999999999999</v>
      </c>
      <c r="J1822" s="24"/>
      <c r="K1822" s="19"/>
      <c r="L1822" s="174">
        <v>0</v>
      </c>
    </row>
    <row r="1823" spans="1:12" ht="26.25" hidden="1" thickBot="1" x14ac:dyDescent="0.3">
      <c r="A1823" s="181"/>
      <c r="B1823" s="179"/>
      <c r="C1823" s="25" t="s">
        <v>1164</v>
      </c>
      <c r="D1823" s="25" t="s">
        <v>305</v>
      </c>
      <c r="E1823" s="26">
        <v>1</v>
      </c>
      <c r="F1823" s="27" t="s">
        <v>1161</v>
      </c>
      <c r="G1823" s="23" t="s">
        <v>1079</v>
      </c>
      <c r="H1823" s="27" t="s">
        <v>33</v>
      </c>
      <c r="I1823" s="23" t="str">
        <f>IF(ISNUMBER(G1823),E1823*G1823,"")</f>
        <v/>
      </c>
      <c r="J1823" s="24"/>
      <c r="K1823" s="19"/>
      <c r="L1823" s="174">
        <v>0</v>
      </c>
    </row>
    <row r="1824" spans="1:12" ht="15.75" hidden="1" thickBot="1" x14ac:dyDescent="0.3">
      <c r="A1824" s="182"/>
      <c r="B1824" s="183"/>
      <c r="C1824" s="25"/>
      <c r="D1824" s="25"/>
      <c r="E1824" s="26"/>
      <c r="F1824" s="27"/>
      <c r="G1824" s="19" t="s">
        <v>1079</v>
      </c>
      <c r="H1824" s="27"/>
      <c r="I1824" s="19" t="str">
        <f>IF(ISNUMBER(G1824),E1824*G1824,"")</f>
        <v/>
      </c>
      <c r="J1824" s="24"/>
      <c r="K1824" s="19"/>
      <c r="L1824" s="174">
        <v>0</v>
      </c>
    </row>
    <row r="1825" spans="1:12" ht="15.75" hidden="1" thickBot="1" x14ac:dyDescent="0.3">
      <c r="A1825" s="180" t="s">
        <v>1165</v>
      </c>
      <c r="B1825" s="178" t="str">
        <f>INDEX(Orçamentária!A:B,MATCH(Composições!A1825,Orçamentária!A:A,0),2)</f>
        <v>Duto chapa galvanizada # 22</v>
      </c>
      <c r="C1825" s="30"/>
      <c r="D1825" s="13" t="str">
        <f>TRIM(INDEX(Orçamentária!C:C,MATCH(Composições!A1825,Orçamentária!A:A,0),1))</f>
        <v>m2</v>
      </c>
      <c r="E1825" s="14"/>
      <c r="F1825" s="15" t="s">
        <v>1166</v>
      </c>
      <c r="G1825" s="31" t="s">
        <v>1079</v>
      </c>
      <c r="H1825" s="16"/>
      <c r="I1825" s="16" t="str">
        <f>IF(ISNUMBER(G1825),E1825*G1825,"")</f>
        <v/>
      </c>
      <c r="J1825" s="17"/>
      <c r="K1825" s="18"/>
      <c r="L1825" s="174">
        <v>0</v>
      </c>
    </row>
    <row r="1826" spans="1:12" ht="15.75" hidden="1" thickBot="1" x14ac:dyDescent="0.3">
      <c r="A1826" s="181"/>
      <c r="B1826" s="179"/>
      <c r="C1826" s="20"/>
      <c r="D1826" s="20"/>
      <c r="E1826" s="21"/>
      <c r="F1826" s="22"/>
      <c r="G1826" s="32" t="s">
        <v>1079</v>
      </c>
      <c r="H1826" s="20"/>
      <c r="I1826" s="19" t="str">
        <f>IF(ISNUMBER(G1826),E1826*G1826,"")</f>
        <v/>
      </c>
      <c r="J1826" s="24"/>
      <c r="K1826" s="19"/>
      <c r="L1826" s="174">
        <v>0</v>
      </c>
    </row>
    <row r="1827" spans="1:12" ht="15.75" hidden="1" thickBot="1" x14ac:dyDescent="0.3">
      <c r="A1827" s="181"/>
      <c r="B1827" s="179"/>
      <c r="C1827" s="25" t="s">
        <v>1167</v>
      </c>
      <c r="D1827" s="36" t="s">
        <v>75</v>
      </c>
      <c r="E1827" s="26">
        <v>6.6559999999999997</v>
      </c>
      <c r="F1827" s="27" t="s">
        <v>1168</v>
      </c>
      <c r="G1827" s="23">
        <v>6.8874999999999993</v>
      </c>
      <c r="H1827" s="27" t="s">
        <v>1169</v>
      </c>
      <c r="I1827" s="23">
        <f>IF(ISNUMBER(G1827),E1827*G1827,"")</f>
        <v>45.843199999999996</v>
      </c>
      <c r="J1827" s="28">
        <f>SUM(I1827:I1830)</f>
        <v>177.57247999999998</v>
      </c>
      <c r="K1827" s="29"/>
      <c r="L1827" s="174">
        <v>0</v>
      </c>
    </row>
    <row r="1828" spans="1:12" ht="15.75" hidden="1" thickBot="1" x14ac:dyDescent="0.3">
      <c r="A1828" s="181"/>
      <c r="B1828" s="179"/>
      <c r="C1828" s="25" t="s">
        <v>1170</v>
      </c>
      <c r="D1828" s="36" t="s">
        <v>1171</v>
      </c>
      <c r="E1828" s="26">
        <v>1</v>
      </c>
      <c r="F1828" s="27" t="s">
        <v>1168</v>
      </c>
      <c r="G1828" s="19">
        <v>0</v>
      </c>
      <c r="H1828" s="27" t="s">
        <v>1172</v>
      </c>
      <c r="I1828" s="23">
        <f>IF(ISNUMBER(G1828),E1828*G1828,"")</f>
        <v>0</v>
      </c>
      <c r="J1828" s="34"/>
      <c r="K1828" s="35"/>
      <c r="L1828" s="174">
        <v>0</v>
      </c>
    </row>
    <row r="1829" spans="1:12" ht="15.75" hidden="1" thickBot="1" x14ac:dyDescent="0.3">
      <c r="A1829" s="181"/>
      <c r="B1829" s="179"/>
      <c r="C1829" s="25" t="s">
        <v>38</v>
      </c>
      <c r="D1829" s="36" t="s">
        <v>21</v>
      </c>
      <c r="E1829" s="26">
        <v>3.84</v>
      </c>
      <c r="F1829" s="27" t="s">
        <v>1168</v>
      </c>
      <c r="G1829" s="19">
        <v>14.325999999999999</v>
      </c>
      <c r="H1829" s="27" t="s">
        <v>39</v>
      </c>
      <c r="I1829" s="23">
        <f>IF(ISNUMBER(G1829),E1829*G1829,"")</f>
        <v>55.011839999999992</v>
      </c>
      <c r="J1829" s="24"/>
      <c r="K1829" s="19"/>
      <c r="L1829" s="174">
        <v>0</v>
      </c>
    </row>
    <row r="1830" spans="1:12" ht="26.25" hidden="1" thickBot="1" x14ac:dyDescent="0.3">
      <c r="A1830" s="181"/>
      <c r="B1830" s="179"/>
      <c r="C1830" s="25" t="s">
        <v>1157</v>
      </c>
      <c r="D1830" s="36" t="s">
        <v>21</v>
      </c>
      <c r="E1830" s="26">
        <v>3.84</v>
      </c>
      <c r="F1830" s="27" t="s">
        <v>1168</v>
      </c>
      <c r="G1830" s="19">
        <v>19.9785</v>
      </c>
      <c r="H1830" s="27" t="s">
        <v>161</v>
      </c>
      <c r="I1830" s="23">
        <f>IF(ISNUMBER(G1830),E1830*G1830,"")</f>
        <v>76.717439999999996</v>
      </c>
      <c r="J1830" s="24"/>
      <c r="K1830" s="19"/>
      <c r="L1830" s="174">
        <v>0</v>
      </c>
    </row>
    <row r="1831" spans="1:12" ht="15.75" hidden="1" thickBot="1" x14ac:dyDescent="0.3">
      <c r="A1831" s="182"/>
      <c r="B1831" s="183"/>
      <c r="C1831" s="25"/>
      <c r="D1831" s="25"/>
      <c r="E1831" s="26"/>
      <c r="F1831" s="27"/>
      <c r="G1831" s="19" t="s">
        <v>1079</v>
      </c>
      <c r="H1831" s="27"/>
      <c r="I1831" s="19" t="str">
        <f>IF(ISNUMBER(G1831),E1831*G1831,"")</f>
        <v/>
      </c>
      <c r="J1831" s="24"/>
      <c r="K1831" s="19"/>
      <c r="L1831" s="174">
        <v>0</v>
      </c>
    </row>
    <row r="1832" spans="1:12" ht="15.75" hidden="1" thickBot="1" x14ac:dyDescent="0.3">
      <c r="A1832" s="180" t="s">
        <v>1173</v>
      </c>
      <c r="B1832" s="178" t="str">
        <f>INDEX(Orçamentária!A:B,MATCH(Composições!A1832,Orçamentária!A:A,0),2)</f>
        <v>Duto flexível 6”</v>
      </c>
      <c r="C1832" s="30"/>
      <c r="D1832" s="13" t="str">
        <f>TRIM(INDEX(Orçamentária!C:C,MATCH(Composições!A1832,Orçamentária!A:A,0),1))</f>
        <v>m</v>
      </c>
      <c r="E1832" s="14"/>
      <c r="F1832" s="15" t="s">
        <v>1174</v>
      </c>
      <c r="G1832" s="31" t="s">
        <v>1079</v>
      </c>
      <c r="H1832" s="16"/>
      <c r="I1832" s="16" t="str">
        <f>IF(ISNUMBER(G1832),E1832*G1832,"")</f>
        <v/>
      </c>
      <c r="J1832" s="17"/>
      <c r="K1832" s="18"/>
      <c r="L1832" s="174">
        <v>0</v>
      </c>
    </row>
    <row r="1833" spans="1:12" ht="15.75" hidden="1" thickBot="1" x14ac:dyDescent="0.3">
      <c r="A1833" s="181"/>
      <c r="B1833" s="179"/>
      <c r="C1833" s="20"/>
      <c r="D1833" s="20"/>
      <c r="E1833" s="21"/>
      <c r="F1833" s="22"/>
      <c r="G1833" s="32" t="s">
        <v>1079</v>
      </c>
      <c r="H1833" s="20"/>
      <c r="I1833" s="19" t="str">
        <f>IF(ISNUMBER(G1833),E1833*G1833,"")</f>
        <v/>
      </c>
      <c r="J1833" s="24"/>
      <c r="K1833" s="19"/>
      <c r="L1833" s="174">
        <v>0</v>
      </c>
    </row>
    <row r="1834" spans="1:12" ht="15.75" hidden="1" thickBot="1" x14ac:dyDescent="0.3">
      <c r="A1834" s="181"/>
      <c r="B1834" s="179"/>
      <c r="C1834" s="25" t="s">
        <v>38</v>
      </c>
      <c r="D1834" s="36" t="s">
        <v>21</v>
      </c>
      <c r="E1834" s="26">
        <v>0.4</v>
      </c>
      <c r="F1834" s="27" t="s">
        <v>1175</v>
      </c>
      <c r="G1834" s="19">
        <v>14.325999999999999</v>
      </c>
      <c r="H1834" s="27" t="s">
        <v>39</v>
      </c>
      <c r="I1834" s="19">
        <f>IF(ISNUMBER(G1834),E1834*G1834,"")</f>
        <v>5.7303999999999995</v>
      </c>
      <c r="J1834" s="28">
        <f>SUM(I1834:I1836)</f>
        <v>13.7218</v>
      </c>
      <c r="K1834" s="29"/>
      <c r="L1834" s="174">
        <v>0</v>
      </c>
    </row>
    <row r="1835" spans="1:12" ht="26.25" hidden="1" thickBot="1" x14ac:dyDescent="0.3">
      <c r="A1835" s="181"/>
      <c r="B1835" s="179"/>
      <c r="C1835" s="25" t="s">
        <v>1157</v>
      </c>
      <c r="D1835" s="36" t="s">
        <v>21</v>
      </c>
      <c r="E1835" s="26">
        <v>0.4</v>
      </c>
      <c r="F1835" s="27" t="s">
        <v>1175</v>
      </c>
      <c r="G1835" s="19">
        <v>19.9785</v>
      </c>
      <c r="H1835" s="27" t="s">
        <v>161</v>
      </c>
      <c r="I1835" s="19">
        <f>IF(ISNUMBER(G1835),E1835*G1835,"")</f>
        <v>7.9914000000000005</v>
      </c>
      <c r="J1835" s="24"/>
      <c r="K1835" s="19"/>
      <c r="L1835" s="174">
        <v>0</v>
      </c>
    </row>
    <row r="1836" spans="1:12" ht="26.25" hidden="1" thickBot="1" x14ac:dyDescent="0.3">
      <c r="A1836" s="181"/>
      <c r="B1836" s="179"/>
      <c r="C1836" s="25" t="s">
        <v>1176</v>
      </c>
      <c r="D1836" s="25" t="s">
        <v>184</v>
      </c>
      <c r="E1836" s="26">
        <v>1.05</v>
      </c>
      <c r="F1836" s="27" t="s">
        <v>1175</v>
      </c>
      <c r="G1836" s="23" t="s">
        <v>1079</v>
      </c>
      <c r="H1836" s="27" t="s">
        <v>33</v>
      </c>
      <c r="I1836" s="19" t="str">
        <f>IF(ISNUMBER(G1836),E1836*G1836,"")</f>
        <v/>
      </c>
      <c r="J1836" s="24"/>
      <c r="K1836" s="19"/>
      <c r="L1836" s="174">
        <v>0</v>
      </c>
    </row>
    <row r="1837" spans="1:12" ht="15.75" hidden="1" thickBot="1" x14ac:dyDescent="0.3">
      <c r="A1837" s="182"/>
      <c r="B1837" s="183"/>
      <c r="C1837" s="25"/>
      <c r="D1837" s="25"/>
      <c r="E1837" s="26"/>
      <c r="F1837" s="27"/>
      <c r="G1837" s="19" t="s">
        <v>1079</v>
      </c>
      <c r="H1837" s="27"/>
      <c r="I1837" s="19" t="str">
        <f>IF(ISNUMBER(G1837),E1837*G1837,"")</f>
        <v/>
      </c>
      <c r="J1837" s="24"/>
      <c r="K1837" s="19"/>
      <c r="L1837" s="174">
        <v>0</v>
      </c>
    </row>
    <row r="1838" spans="1:12" ht="15.75" hidden="1" thickBot="1" x14ac:dyDescent="0.3">
      <c r="A1838" s="180" t="s">
        <v>1177</v>
      </c>
      <c r="B1838" s="178" t="str">
        <f>INDEX(Orçamentária!A:B,MATCH(Composições!A1838,Orçamentária!A:A,0),2)</f>
        <v>Duto flexível 8”</v>
      </c>
      <c r="C1838" s="30"/>
      <c r="D1838" s="13" t="str">
        <f>TRIM(INDEX(Orçamentária!C:C,MATCH(Composições!A1838,Orçamentária!A:A,0),1))</f>
        <v>m</v>
      </c>
      <c r="E1838" s="14"/>
      <c r="F1838" s="15" t="s">
        <v>1174</v>
      </c>
      <c r="G1838" s="31" t="s">
        <v>1079</v>
      </c>
      <c r="H1838" s="16"/>
      <c r="I1838" s="16" t="str">
        <f>IF(ISNUMBER(G1838),E1838*G1838,"")</f>
        <v/>
      </c>
      <c r="J1838" s="17"/>
      <c r="K1838" s="18"/>
      <c r="L1838" s="174">
        <v>0</v>
      </c>
    </row>
    <row r="1839" spans="1:12" ht="15.75" hidden="1" thickBot="1" x14ac:dyDescent="0.3">
      <c r="A1839" s="181"/>
      <c r="B1839" s="179"/>
      <c r="C1839" s="20"/>
      <c r="D1839" s="20"/>
      <c r="E1839" s="21"/>
      <c r="F1839" s="22"/>
      <c r="G1839" s="32" t="s">
        <v>1079</v>
      </c>
      <c r="H1839" s="20"/>
      <c r="I1839" s="19" t="str">
        <f>IF(ISNUMBER(G1839),E1839*G1839,"")</f>
        <v/>
      </c>
      <c r="J1839" s="24"/>
      <c r="K1839" s="19"/>
      <c r="L1839" s="174">
        <v>0</v>
      </c>
    </row>
    <row r="1840" spans="1:12" ht="15.75" hidden="1" thickBot="1" x14ac:dyDescent="0.3">
      <c r="A1840" s="181"/>
      <c r="B1840" s="179"/>
      <c r="C1840" s="25" t="s">
        <v>38</v>
      </c>
      <c r="D1840" s="36" t="s">
        <v>21</v>
      </c>
      <c r="E1840" s="26">
        <v>0.4</v>
      </c>
      <c r="F1840" s="27" t="s">
        <v>1175</v>
      </c>
      <c r="G1840" s="19">
        <v>14.325999999999999</v>
      </c>
      <c r="H1840" s="27" t="s">
        <v>39</v>
      </c>
      <c r="I1840" s="19">
        <f>IF(ISNUMBER(G1840),E1840*G1840,"")</f>
        <v>5.7303999999999995</v>
      </c>
      <c r="J1840" s="28">
        <f>SUM(I1840:I1842)</f>
        <v>13.7218</v>
      </c>
      <c r="K1840" s="29"/>
      <c r="L1840" s="174">
        <v>0</v>
      </c>
    </row>
    <row r="1841" spans="1:12" ht="26.25" hidden="1" thickBot="1" x14ac:dyDescent="0.3">
      <c r="A1841" s="181"/>
      <c r="B1841" s="179"/>
      <c r="C1841" s="25" t="s">
        <v>1157</v>
      </c>
      <c r="D1841" s="36" t="s">
        <v>21</v>
      </c>
      <c r="E1841" s="26">
        <v>0.4</v>
      </c>
      <c r="F1841" s="27" t="s">
        <v>1175</v>
      </c>
      <c r="G1841" s="19">
        <v>19.9785</v>
      </c>
      <c r="H1841" s="27" t="s">
        <v>161</v>
      </c>
      <c r="I1841" s="19">
        <f>IF(ISNUMBER(G1841),E1841*G1841,"")</f>
        <v>7.9914000000000005</v>
      </c>
      <c r="J1841" s="24"/>
      <c r="K1841" s="19"/>
      <c r="L1841" s="174">
        <v>0</v>
      </c>
    </row>
    <row r="1842" spans="1:12" ht="26.25" hidden="1" thickBot="1" x14ac:dyDescent="0.3">
      <c r="A1842" s="181"/>
      <c r="B1842" s="179"/>
      <c r="C1842" s="25" t="s">
        <v>1178</v>
      </c>
      <c r="D1842" s="25" t="s">
        <v>184</v>
      </c>
      <c r="E1842" s="26">
        <v>1.05</v>
      </c>
      <c r="F1842" s="27" t="s">
        <v>1175</v>
      </c>
      <c r="G1842" s="23" t="s">
        <v>1079</v>
      </c>
      <c r="H1842" s="27" t="s">
        <v>33</v>
      </c>
      <c r="I1842" s="19" t="str">
        <f>IF(ISNUMBER(G1842),E1842*G1842,"")</f>
        <v/>
      </c>
      <c r="J1842" s="24"/>
      <c r="K1842" s="19"/>
      <c r="L1842" s="174">
        <v>0</v>
      </c>
    </row>
    <row r="1843" spans="1:12" ht="15.75" hidden="1" thickBot="1" x14ac:dyDescent="0.3">
      <c r="A1843" s="182"/>
      <c r="B1843" s="183"/>
      <c r="C1843" s="25"/>
      <c r="D1843" s="25"/>
      <c r="E1843" s="26"/>
      <c r="F1843" s="27"/>
      <c r="G1843" s="19" t="s">
        <v>1079</v>
      </c>
      <c r="H1843" s="27"/>
      <c r="I1843" s="19" t="str">
        <f>IF(ISNUMBER(G1843),E1843*G1843,"")</f>
        <v/>
      </c>
      <c r="J1843" s="24"/>
      <c r="K1843" s="19"/>
      <c r="L1843" s="174">
        <v>0</v>
      </c>
    </row>
    <row r="1844" spans="1:12" ht="15.75" hidden="1" thickBot="1" x14ac:dyDescent="0.3">
      <c r="A1844" s="180" t="s">
        <v>1179</v>
      </c>
      <c r="B1844" s="178" t="str">
        <f>INDEX(Orçamentária!A:B,MATCH(Composições!A1844,Orçamentária!A:A,0),2)</f>
        <v>Difusor de ar quadrado 360x360 mm</v>
      </c>
      <c r="C1844" s="30"/>
      <c r="D1844" s="13" t="str">
        <f>TRIM(INDEX(Orçamentária!C:C,MATCH(Composições!A1844,Orçamentária!A:A,0),1))</f>
        <v>un</v>
      </c>
      <c r="E1844" s="14"/>
      <c r="F1844" s="15" t="s">
        <v>1180</v>
      </c>
      <c r="G1844" s="31" t="s">
        <v>1079</v>
      </c>
      <c r="H1844" s="16"/>
      <c r="I1844" s="16" t="str">
        <f>IF(ISNUMBER(G1844),E1844*G1844,"")</f>
        <v/>
      </c>
      <c r="J1844" s="17"/>
      <c r="K1844" s="18"/>
      <c r="L1844" s="174">
        <v>0</v>
      </c>
    </row>
    <row r="1845" spans="1:12" ht="15.75" hidden="1" thickBot="1" x14ac:dyDescent="0.3">
      <c r="A1845" s="181"/>
      <c r="B1845" s="179"/>
      <c r="C1845" s="20"/>
      <c r="D1845" s="20"/>
      <c r="E1845" s="21"/>
      <c r="F1845" s="22"/>
      <c r="G1845" s="32" t="s">
        <v>1079</v>
      </c>
      <c r="H1845" s="20"/>
      <c r="I1845" s="19" t="str">
        <f>IF(ISNUMBER(G1845),E1845*G1845,"")</f>
        <v/>
      </c>
      <c r="J1845" s="24"/>
      <c r="K1845" s="19"/>
      <c r="L1845" s="174">
        <v>0</v>
      </c>
    </row>
    <row r="1846" spans="1:12" ht="15.75" hidden="1" thickBot="1" x14ac:dyDescent="0.3">
      <c r="A1846" s="181"/>
      <c r="B1846" s="179"/>
      <c r="C1846" s="25" t="s">
        <v>96</v>
      </c>
      <c r="D1846" s="36" t="s">
        <v>21</v>
      </c>
      <c r="E1846" s="26">
        <v>2.5</v>
      </c>
      <c r="F1846" s="27" t="s">
        <v>1181</v>
      </c>
      <c r="G1846" s="19">
        <v>15.275999999999998</v>
      </c>
      <c r="H1846" s="27" t="s">
        <v>98</v>
      </c>
      <c r="I1846" s="23">
        <f>IF(ISNUMBER(G1846),E1846*G1846,"")</f>
        <v>38.19</v>
      </c>
      <c r="J1846" s="28">
        <f>SUM(I1846:I1848)</f>
        <v>88.13624999999999</v>
      </c>
      <c r="K1846" s="29"/>
      <c r="L1846" s="174">
        <v>0</v>
      </c>
    </row>
    <row r="1847" spans="1:12" ht="26.25" hidden="1" thickBot="1" x14ac:dyDescent="0.3">
      <c r="A1847" s="181"/>
      <c r="B1847" s="179"/>
      <c r="C1847" s="25" t="s">
        <v>1157</v>
      </c>
      <c r="D1847" s="36" t="s">
        <v>21</v>
      </c>
      <c r="E1847" s="26">
        <v>2.5</v>
      </c>
      <c r="F1847" s="27" t="s">
        <v>1181</v>
      </c>
      <c r="G1847" s="19">
        <v>19.9785</v>
      </c>
      <c r="H1847" s="27" t="s">
        <v>161</v>
      </c>
      <c r="I1847" s="23">
        <f>IF(ISNUMBER(G1847),E1847*G1847,"")</f>
        <v>49.946249999999999</v>
      </c>
      <c r="J1847" s="24"/>
      <c r="K1847" s="19"/>
      <c r="L1847" s="174">
        <v>0</v>
      </c>
    </row>
    <row r="1848" spans="1:12" ht="26.25" hidden="1" thickBot="1" x14ac:dyDescent="0.3">
      <c r="A1848" s="181"/>
      <c r="B1848" s="179"/>
      <c r="C1848" s="25" t="s">
        <v>1182</v>
      </c>
      <c r="D1848" s="25" t="s">
        <v>305</v>
      </c>
      <c r="E1848" s="26">
        <v>1</v>
      </c>
      <c r="F1848" s="27" t="s">
        <v>1181</v>
      </c>
      <c r="G1848" s="23" t="s">
        <v>1079</v>
      </c>
      <c r="H1848" s="27" t="s">
        <v>33</v>
      </c>
      <c r="I1848" s="23" t="str">
        <f>IF(ISNUMBER(G1848),E1848*G1848,"")</f>
        <v/>
      </c>
      <c r="J1848" s="24"/>
      <c r="K1848" s="19"/>
      <c r="L1848" s="174">
        <v>0</v>
      </c>
    </row>
    <row r="1849" spans="1:12" ht="15.75" hidden="1" thickBot="1" x14ac:dyDescent="0.3">
      <c r="A1849" s="182"/>
      <c r="B1849" s="183"/>
      <c r="C1849" s="25"/>
      <c r="D1849" s="25"/>
      <c r="E1849" s="26"/>
      <c r="F1849" s="27"/>
      <c r="G1849" s="19" t="s">
        <v>1079</v>
      </c>
      <c r="H1849" s="27"/>
      <c r="I1849" s="19" t="str">
        <f>IF(ISNUMBER(G1849),E1849*G1849,"")</f>
        <v/>
      </c>
      <c r="J1849" s="24"/>
      <c r="K1849" s="19"/>
      <c r="L1849" s="174">
        <v>0</v>
      </c>
    </row>
    <row r="1850" spans="1:12" ht="15.75" hidden="1" thickBot="1" x14ac:dyDescent="0.3">
      <c r="A1850" s="180" t="s">
        <v>1183</v>
      </c>
      <c r="B1850" s="178" t="str">
        <f>INDEX(Orçamentária!A:B,MATCH(Composições!A1850,Orçamentária!A:A,0),2)</f>
        <v>Difusor de ar quadrado com caixa plenum AK6 360x360 mm</v>
      </c>
      <c r="C1850" s="30"/>
      <c r="D1850" s="13" t="str">
        <f>TRIM(INDEX(Orçamentária!C:C,MATCH(Composições!A1850,Orçamentária!A:A,0),1))</f>
        <v>un</v>
      </c>
      <c r="E1850" s="14"/>
      <c r="F1850" s="15" t="s">
        <v>1180</v>
      </c>
      <c r="G1850" s="31" t="s">
        <v>1079</v>
      </c>
      <c r="H1850" s="16"/>
      <c r="I1850" s="16" t="str">
        <f>IF(ISNUMBER(G1850),E1850*G1850,"")</f>
        <v/>
      </c>
      <c r="J1850" s="17"/>
      <c r="K1850" s="18"/>
      <c r="L1850" s="174">
        <v>0</v>
      </c>
    </row>
    <row r="1851" spans="1:12" ht="15.75" hidden="1" thickBot="1" x14ac:dyDescent="0.3">
      <c r="A1851" s="181"/>
      <c r="B1851" s="179"/>
      <c r="C1851" s="20"/>
      <c r="D1851" s="20"/>
      <c r="E1851" s="21"/>
      <c r="F1851" s="22"/>
      <c r="G1851" s="32" t="s">
        <v>1079</v>
      </c>
      <c r="H1851" s="20"/>
      <c r="I1851" s="19" t="str">
        <f>IF(ISNUMBER(G1851),E1851*G1851,"")</f>
        <v/>
      </c>
      <c r="J1851" s="24"/>
      <c r="K1851" s="19"/>
      <c r="L1851" s="174">
        <v>0</v>
      </c>
    </row>
    <row r="1852" spans="1:12" ht="15.75" hidden="1" thickBot="1" x14ac:dyDescent="0.3">
      <c r="A1852" s="181"/>
      <c r="B1852" s="179"/>
      <c r="C1852" s="25" t="s">
        <v>96</v>
      </c>
      <c r="D1852" s="36" t="s">
        <v>21</v>
      </c>
      <c r="E1852" s="26">
        <v>2.5</v>
      </c>
      <c r="F1852" s="27" t="s">
        <v>1181</v>
      </c>
      <c r="G1852" s="19">
        <v>15.275999999999998</v>
      </c>
      <c r="H1852" s="27" t="s">
        <v>98</v>
      </c>
      <c r="I1852" s="23">
        <f>IF(ISNUMBER(G1852),E1852*G1852,"")</f>
        <v>38.19</v>
      </c>
      <c r="J1852" s="28">
        <f>SUM(I1852:I1854)</f>
        <v>88.13624999999999</v>
      </c>
      <c r="K1852" s="29"/>
      <c r="L1852" s="174">
        <v>0</v>
      </c>
    </row>
    <row r="1853" spans="1:12" ht="26.25" hidden="1" thickBot="1" x14ac:dyDescent="0.3">
      <c r="A1853" s="181"/>
      <c r="B1853" s="179"/>
      <c r="C1853" s="25" t="s">
        <v>1157</v>
      </c>
      <c r="D1853" s="36" t="s">
        <v>21</v>
      </c>
      <c r="E1853" s="26">
        <v>2.5</v>
      </c>
      <c r="F1853" s="27" t="s">
        <v>1181</v>
      </c>
      <c r="G1853" s="19">
        <v>19.9785</v>
      </c>
      <c r="H1853" s="27" t="s">
        <v>161</v>
      </c>
      <c r="I1853" s="23">
        <f>IF(ISNUMBER(G1853),E1853*G1853,"")</f>
        <v>49.946249999999999</v>
      </c>
      <c r="J1853" s="24"/>
      <c r="K1853" s="19"/>
      <c r="L1853" s="174">
        <v>0</v>
      </c>
    </row>
    <row r="1854" spans="1:12" ht="26.25" hidden="1" thickBot="1" x14ac:dyDescent="0.3">
      <c r="A1854" s="181"/>
      <c r="B1854" s="179"/>
      <c r="C1854" s="25" t="s">
        <v>1184</v>
      </c>
      <c r="D1854" s="25" t="s">
        <v>305</v>
      </c>
      <c r="E1854" s="26">
        <v>1</v>
      </c>
      <c r="F1854" s="27" t="s">
        <v>1181</v>
      </c>
      <c r="G1854" s="23" t="s">
        <v>1079</v>
      </c>
      <c r="H1854" s="27" t="s">
        <v>33</v>
      </c>
      <c r="I1854" s="23" t="str">
        <f>IF(ISNUMBER(G1854),E1854*G1854,"")</f>
        <v/>
      </c>
      <c r="J1854" s="24"/>
      <c r="K1854" s="19"/>
      <c r="L1854" s="174">
        <v>0</v>
      </c>
    </row>
    <row r="1855" spans="1:12" ht="15.75" hidden="1" thickBot="1" x14ac:dyDescent="0.3">
      <c r="A1855" s="182"/>
      <c r="B1855" s="183"/>
      <c r="C1855" s="25"/>
      <c r="D1855" s="25"/>
      <c r="E1855" s="26"/>
      <c r="F1855" s="27"/>
      <c r="G1855" s="19" t="s">
        <v>1079</v>
      </c>
      <c r="H1855" s="27"/>
      <c r="I1855" s="19" t="str">
        <f>IF(ISNUMBER(G1855),E1855*G1855,"")</f>
        <v/>
      </c>
      <c r="J1855" s="24"/>
      <c r="K1855" s="19"/>
      <c r="L1855" s="174">
        <v>0</v>
      </c>
    </row>
    <row r="1856" spans="1:12" ht="15.75" hidden="1" thickBot="1" x14ac:dyDescent="0.3">
      <c r="A1856" s="180" t="s">
        <v>1185</v>
      </c>
      <c r="B1856" s="178" t="str">
        <f>INDEX(Orçamentária!A:B,MATCH(Composições!A1856,Orçamentária!A:A,0),2)</f>
        <v>Difusor de ar quadrado para insuflamento em duas direções perpendiculares 376x376 mm</v>
      </c>
      <c r="C1856" s="30"/>
      <c r="D1856" s="13" t="str">
        <f>TRIM(INDEX(Orçamentária!C:C,MATCH(Composições!A1856,Orçamentária!A:A,0),1))</f>
        <v>un</v>
      </c>
      <c r="E1856" s="14"/>
      <c r="F1856" s="15" t="s">
        <v>1180</v>
      </c>
      <c r="G1856" s="31" t="s">
        <v>1079</v>
      </c>
      <c r="H1856" s="16"/>
      <c r="I1856" s="16" t="str">
        <f>IF(ISNUMBER(G1856),E1856*G1856,"")</f>
        <v/>
      </c>
      <c r="J1856" s="17"/>
      <c r="K1856" s="18"/>
      <c r="L1856" s="174">
        <v>0</v>
      </c>
    </row>
    <row r="1857" spans="1:12" ht="15.75" hidden="1" thickBot="1" x14ac:dyDescent="0.3">
      <c r="A1857" s="181"/>
      <c r="B1857" s="179"/>
      <c r="C1857" s="20"/>
      <c r="D1857" s="20"/>
      <c r="E1857" s="21"/>
      <c r="F1857" s="22"/>
      <c r="G1857" s="32" t="s">
        <v>1079</v>
      </c>
      <c r="H1857" s="20"/>
      <c r="I1857" s="19" t="str">
        <f>IF(ISNUMBER(G1857),E1857*G1857,"")</f>
        <v/>
      </c>
      <c r="J1857" s="24"/>
      <c r="K1857" s="19"/>
      <c r="L1857" s="174">
        <v>0</v>
      </c>
    </row>
    <row r="1858" spans="1:12" ht="15.75" hidden="1" thickBot="1" x14ac:dyDescent="0.3">
      <c r="A1858" s="181"/>
      <c r="B1858" s="179"/>
      <c r="C1858" s="25" t="s">
        <v>96</v>
      </c>
      <c r="D1858" s="36" t="s">
        <v>21</v>
      </c>
      <c r="E1858" s="26">
        <v>2.5</v>
      </c>
      <c r="F1858" s="27" t="s">
        <v>1181</v>
      </c>
      <c r="G1858" s="19">
        <v>15.275999999999998</v>
      </c>
      <c r="H1858" s="27" t="s">
        <v>98</v>
      </c>
      <c r="I1858" s="23">
        <f>IF(ISNUMBER(G1858),E1858*G1858,"")</f>
        <v>38.19</v>
      </c>
      <c r="J1858" s="28">
        <f>SUM(I1858:I1860)</f>
        <v>88.13624999999999</v>
      </c>
      <c r="K1858" s="29"/>
      <c r="L1858" s="174">
        <v>0</v>
      </c>
    </row>
    <row r="1859" spans="1:12" ht="26.25" hidden="1" thickBot="1" x14ac:dyDescent="0.3">
      <c r="A1859" s="181"/>
      <c r="B1859" s="179"/>
      <c r="C1859" s="25" t="s">
        <v>1157</v>
      </c>
      <c r="D1859" s="36" t="s">
        <v>21</v>
      </c>
      <c r="E1859" s="26">
        <v>2.5</v>
      </c>
      <c r="F1859" s="27" t="s">
        <v>1181</v>
      </c>
      <c r="G1859" s="19">
        <v>19.9785</v>
      </c>
      <c r="H1859" s="27" t="s">
        <v>161</v>
      </c>
      <c r="I1859" s="23">
        <f>IF(ISNUMBER(G1859),E1859*G1859,"")</f>
        <v>49.946249999999999</v>
      </c>
      <c r="J1859" s="24"/>
      <c r="K1859" s="19"/>
      <c r="L1859" s="174">
        <v>0</v>
      </c>
    </row>
    <row r="1860" spans="1:12" ht="26.25" hidden="1" thickBot="1" x14ac:dyDescent="0.3">
      <c r="A1860" s="181"/>
      <c r="B1860" s="179"/>
      <c r="C1860" s="25" t="s">
        <v>1186</v>
      </c>
      <c r="D1860" s="25" t="s">
        <v>305</v>
      </c>
      <c r="E1860" s="26">
        <v>1</v>
      </c>
      <c r="F1860" s="27" t="s">
        <v>1181</v>
      </c>
      <c r="G1860" s="23" t="s">
        <v>1079</v>
      </c>
      <c r="H1860" s="27" t="s">
        <v>33</v>
      </c>
      <c r="I1860" s="23" t="str">
        <f>IF(ISNUMBER(G1860),E1860*G1860,"")</f>
        <v/>
      </c>
      <c r="J1860" s="24"/>
      <c r="K1860" s="19"/>
      <c r="L1860" s="174">
        <v>0</v>
      </c>
    </row>
    <row r="1861" spans="1:12" ht="15.75" hidden="1" thickBot="1" x14ac:dyDescent="0.3">
      <c r="A1861" s="182"/>
      <c r="B1861" s="183"/>
      <c r="C1861" s="25"/>
      <c r="D1861" s="25"/>
      <c r="E1861" s="26"/>
      <c r="F1861" s="27"/>
      <c r="G1861" s="19" t="s">
        <v>1079</v>
      </c>
      <c r="H1861" s="27"/>
      <c r="I1861" s="19" t="str">
        <f>IF(ISNUMBER(G1861),E1861*G1861,"")</f>
        <v/>
      </c>
      <c r="J1861" s="24"/>
      <c r="K1861" s="19"/>
      <c r="L1861" s="174">
        <v>0</v>
      </c>
    </row>
    <row r="1862" spans="1:12" ht="15.75" hidden="1" thickBot="1" x14ac:dyDescent="0.3">
      <c r="A1862" s="180" t="s">
        <v>1187</v>
      </c>
      <c r="B1862" s="178" t="str">
        <f>INDEX(Orçamentária!A:B,MATCH(Composições!A1862,Orçamentária!A:A,0),2)</f>
        <v>Difusor de ar retangular para insuflamento em duas direções 371x208 mm</v>
      </c>
      <c r="C1862" s="30"/>
      <c r="D1862" s="13" t="str">
        <f>TRIM(INDEX(Orçamentária!C:C,MATCH(Composições!A1862,Orçamentária!A:A,0),1))</f>
        <v>un</v>
      </c>
      <c r="E1862" s="14"/>
      <c r="F1862" s="15" t="s">
        <v>1180</v>
      </c>
      <c r="G1862" s="31" t="s">
        <v>1079</v>
      </c>
      <c r="H1862" s="16"/>
      <c r="I1862" s="16" t="str">
        <f>IF(ISNUMBER(G1862),E1862*G1862,"")</f>
        <v/>
      </c>
      <c r="J1862" s="17"/>
      <c r="K1862" s="18"/>
      <c r="L1862" s="174">
        <v>0</v>
      </c>
    </row>
    <row r="1863" spans="1:12" ht="15.75" hidden="1" thickBot="1" x14ac:dyDescent="0.3">
      <c r="A1863" s="181"/>
      <c r="B1863" s="179"/>
      <c r="C1863" s="20"/>
      <c r="D1863" s="20"/>
      <c r="E1863" s="21"/>
      <c r="F1863" s="22"/>
      <c r="G1863" s="32" t="s">
        <v>1079</v>
      </c>
      <c r="H1863" s="20"/>
      <c r="I1863" s="19" t="str">
        <f>IF(ISNUMBER(G1863),E1863*G1863,"")</f>
        <v/>
      </c>
      <c r="J1863" s="24"/>
      <c r="K1863" s="19"/>
      <c r="L1863" s="174">
        <v>0</v>
      </c>
    </row>
    <row r="1864" spans="1:12" ht="15.75" hidden="1" thickBot="1" x14ac:dyDescent="0.3">
      <c r="A1864" s="181"/>
      <c r="B1864" s="179"/>
      <c r="C1864" s="25" t="s">
        <v>96</v>
      </c>
      <c r="D1864" s="36" t="s">
        <v>21</v>
      </c>
      <c r="E1864" s="26">
        <v>2.5</v>
      </c>
      <c r="F1864" s="27" t="s">
        <v>1181</v>
      </c>
      <c r="G1864" s="19">
        <v>15.275999999999998</v>
      </c>
      <c r="H1864" s="27" t="s">
        <v>98</v>
      </c>
      <c r="I1864" s="23">
        <f>IF(ISNUMBER(G1864),E1864*G1864,"")</f>
        <v>38.19</v>
      </c>
      <c r="J1864" s="28">
        <f>SUM(I1864:I1866)</f>
        <v>88.13624999999999</v>
      </c>
      <c r="K1864" s="29"/>
      <c r="L1864" s="174">
        <v>0</v>
      </c>
    </row>
    <row r="1865" spans="1:12" ht="26.25" hidden="1" thickBot="1" x14ac:dyDescent="0.3">
      <c r="A1865" s="181"/>
      <c r="B1865" s="179"/>
      <c r="C1865" s="25" t="s">
        <v>1157</v>
      </c>
      <c r="D1865" s="36" t="s">
        <v>21</v>
      </c>
      <c r="E1865" s="26">
        <v>2.5</v>
      </c>
      <c r="F1865" s="27" t="s">
        <v>1181</v>
      </c>
      <c r="G1865" s="19">
        <v>19.9785</v>
      </c>
      <c r="H1865" s="27" t="s">
        <v>161</v>
      </c>
      <c r="I1865" s="23">
        <f>IF(ISNUMBER(G1865),E1865*G1865,"")</f>
        <v>49.946249999999999</v>
      </c>
      <c r="J1865" s="24"/>
      <c r="K1865" s="19"/>
      <c r="L1865" s="174">
        <v>0</v>
      </c>
    </row>
    <row r="1866" spans="1:12" ht="39" hidden="1" thickBot="1" x14ac:dyDescent="0.3">
      <c r="A1866" s="181"/>
      <c r="B1866" s="179"/>
      <c r="C1866" s="25" t="s">
        <v>1188</v>
      </c>
      <c r="D1866" s="25" t="s">
        <v>305</v>
      </c>
      <c r="E1866" s="26">
        <v>1</v>
      </c>
      <c r="F1866" s="27" t="s">
        <v>1181</v>
      </c>
      <c r="G1866" s="23" t="s">
        <v>1079</v>
      </c>
      <c r="H1866" s="27" t="s">
        <v>33</v>
      </c>
      <c r="I1866" s="23" t="str">
        <f>IF(ISNUMBER(G1866),E1866*G1866,"")</f>
        <v/>
      </c>
      <c r="J1866" s="24"/>
      <c r="K1866" s="19"/>
      <c r="L1866" s="174">
        <v>0</v>
      </c>
    </row>
    <row r="1867" spans="1:12" ht="15.75" hidden="1" thickBot="1" x14ac:dyDescent="0.3">
      <c r="A1867" s="182"/>
      <c r="B1867" s="183"/>
      <c r="C1867" s="25"/>
      <c r="D1867" s="25"/>
      <c r="E1867" s="26"/>
      <c r="F1867" s="27"/>
      <c r="G1867" s="19" t="s">
        <v>1079</v>
      </c>
      <c r="H1867" s="27"/>
      <c r="I1867" s="19" t="str">
        <f>IF(ISNUMBER(G1867),E1867*G1867,"")</f>
        <v/>
      </c>
      <c r="J1867" s="24"/>
      <c r="K1867" s="19"/>
      <c r="L1867" s="174">
        <v>0</v>
      </c>
    </row>
    <row r="1868" spans="1:12" ht="15.75" hidden="1" thickBot="1" x14ac:dyDescent="0.3">
      <c r="A1868" s="180" t="s">
        <v>1189</v>
      </c>
      <c r="B1868" s="178" t="str">
        <f>INDEX(Orçamentária!A:B,MATCH(Composições!A1868,Orçamentária!A:A,0),2)</f>
        <v>Difusor de ar retangular para insuflamento em três direções 264x432 mm</v>
      </c>
      <c r="C1868" s="30"/>
      <c r="D1868" s="13" t="str">
        <f>TRIM(INDEX(Orçamentária!C:C,MATCH(Composições!A1868,Orçamentária!A:A,0),1))</f>
        <v>un</v>
      </c>
      <c r="E1868" s="14"/>
      <c r="F1868" s="15" t="s">
        <v>1180</v>
      </c>
      <c r="G1868" s="31" t="s">
        <v>1079</v>
      </c>
      <c r="H1868" s="16"/>
      <c r="I1868" s="16" t="str">
        <f>IF(ISNUMBER(G1868),E1868*G1868,"")</f>
        <v/>
      </c>
      <c r="J1868" s="17"/>
      <c r="K1868" s="18"/>
      <c r="L1868" s="174">
        <v>0</v>
      </c>
    </row>
    <row r="1869" spans="1:12" ht="15.75" hidden="1" thickBot="1" x14ac:dyDescent="0.3">
      <c r="A1869" s="181"/>
      <c r="B1869" s="179"/>
      <c r="C1869" s="20"/>
      <c r="D1869" s="20"/>
      <c r="E1869" s="21"/>
      <c r="F1869" s="22"/>
      <c r="G1869" s="32" t="s">
        <v>1079</v>
      </c>
      <c r="H1869" s="20"/>
      <c r="I1869" s="19" t="str">
        <f>IF(ISNUMBER(G1869),E1869*G1869,"")</f>
        <v/>
      </c>
      <c r="J1869" s="24"/>
      <c r="K1869" s="19"/>
      <c r="L1869" s="174">
        <v>0</v>
      </c>
    </row>
    <row r="1870" spans="1:12" ht="15.75" hidden="1" thickBot="1" x14ac:dyDescent="0.3">
      <c r="A1870" s="181"/>
      <c r="B1870" s="179"/>
      <c r="C1870" s="25" t="s">
        <v>96</v>
      </c>
      <c r="D1870" s="36" t="s">
        <v>21</v>
      </c>
      <c r="E1870" s="26">
        <v>2.5</v>
      </c>
      <c r="F1870" s="27" t="s">
        <v>1181</v>
      </c>
      <c r="G1870" s="19">
        <v>15.275999999999998</v>
      </c>
      <c r="H1870" s="27" t="s">
        <v>98</v>
      </c>
      <c r="I1870" s="23">
        <f>IF(ISNUMBER(G1870),E1870*G1870,"")</f>
        <v>38.19</v>
      </c>
      <c r="J1870" s="28">
        <f>SUM(I1870:I1872)</f>
        <v>88.13624999999999</v>
      </c>
      <c r="K1870" s="29"/>
      <c r="L1870" s="174">
        <v>0</v>
      </c>
    </row>
    <row r="1871" spans="1:12" ht="26.25" hidden="1" thickBot="1" x14ac:dyDescent="0.3">
      <c r="A1871" s="181"/>
      <c r="B1871" s="179"/>
      <c r="C1871" s="25" t="s">
        <v>1157</v>
      </c>
      <c r="D1871" s="36" t="s">
        <v>21</v>
      </c>
      <c r="E1871" s="26">
        <v>2.5</v>
      </c>
      <c r="F1871" s="27" t="s">
        <v>1181</v>
      </c>
      <c r="G1871" s="19">
        <v>19.9785</v>
      </c>
      <c r="H1871" s="27" t="s">
        <v>161</v>
      </c>
      <c r="I1871" s="23">
        <f>IF(ISNUMBER(G1871),E1871*G1871,"")</f>
        <v>49.946249999999999</v>
      </c>
      <c r="J1871" s="24"/>
      <c r="K1871" s="19"/>
      <c r="L1871" s="174">
        <v>0</v>
      </c>
    </row>
    <row r="1872" spans="1:12" ht="51.75" hidden="1" thickBot="1" x14ac:dyDescent="0.3">
      <c r="A1872" s="181"/>
      <c r="B1872" s="179"/>
      <c r="C1872" s="25" t="s">
        <v>1190</v>
      </c>
      <c r="D1872" s="25" t="s">
        <v>305</v>
      </c>
      <c r="E1872" s="26">
        <v>1</v>
      </c>
      <c r="F1872" s="27" t="s">
        <v>1181</v>
      </c>
      <c r="G1872" s="23" t="s">
        <v>1079</v>
      </c>
      <c r="H1872" s="27" t="s">
        <v>33</v>
      </c>
      <c r="I1872" s="23" t="str">
        <f>IF(ISNUMBER(G1872),E1872*G1872,"")</f>
        <v/>
      </c>
      <c r="J1872" s="24"/>
      <c r="K1872" s="19"/>
      <c r="L1872" s="174">
        <v>0</v>
      </c>
    </row>
    <row r="1873" spans="1:12" ht="15.75" hidden="1" thickBot="1" x14ac:dyDescent="0.3">
      <c r="A1873" s="182"/>
      <c r="B1873" s="183"/>
      <c r="C1873" s="25"/>
      <c r="D1873" s="25"/>
      <c r="E1873" s="26"/>
      <c r="F1873" s="27"/>
      <c r="G1873" s="19" t="s">
        <v>1079</v>
      </c>
      <c r="H1873" s="27"/>
      <c r="I1873" s="19" t="str">
        <f>IF(ISNUMBER(G1873),E1873*G1873,"")</f>
        <v/>
      </c>
      <c r="J1873" s="24"/>
      <c r="K1873" s="19"/>
      <c r="L1873" s="174">
        <v>0</v>
      </c>
    </row>
    <row r="1874" spans="1:12" ht="15.75" hidden="1" thickBot="1" x14ac:dyDescent="0.3">
      <c r="A1874" s="180" t="s">
        <v>1191</v>
      </c>
      <c r="B1874" s="178" t="str">
        <f>INDEX(Orçamentária!A:B,MATCH(Composições!A1874,Orçamentária!A:A,0),2)</f>
        <v>Difusor de ar retangular para insuflamento em três direções 320x562 mm</v>
      </c>
      <c r="C1874" s="30"/>
      <c r="D1874" s="13" t="str">
        <f>TRIM(INDEX(Orçamentária!C:C,MATCH(Composições!A1874,Orçamentária!A:A,0),1))</f>
        <v>un</v>
      </c>
      <c r="E1874" s="14"/>
      <c r="F1874" s="15" t="s">
        <v>1180</v>
      </c>
      <c r="G1874" s="31" t="s">
        <v>1079</v>
      </c>
      <c r="H1874" s="16"/>
      <c r="I1874" s="16" t="str">
        <f>IF(ISNUMBER(G1874),E1874*G1874,"")</f>
        <v/>
      </c>
      <c r="J1874" s="17"/>
      <c r="K1874" s="18"/>
      <c r="L1874" s="174">
        <v>0</v>
      </c>
    </row>
    <row r="1875" spans="1:12" ht="15.75" hidden="1" thickBot="1" x14ac:dyDescent="0.3">
      <c r="A1875" s="181"/>
      <c r="B1875" s="179"/>
      <c r="C1875" s="20"/>
      <c r="D1875" s="20"/>
      <c r="E1875" s="21"/>
      <c r="F1875" s="22"/>
      <c r="G1875" s="32" t="s">
        <v>1079</v>
      </c>
      <c r="H1875" s="20"/>
      <c r="I1875" s="19" t="str">
        <f>IF(ISNUMBER(G1875),E1875*G1875,"")</f>
        <v/>
      </c>
      <c r="J1875" s="24"/>
      <c r="K1875" s="19"/>
      <c r="L1875" s="174">
        <v>0</v>
      </c>
    </row>
    <row r="1876" spans="1:12" ht="15.75" hidden="1" thickBot="1" x14ac:dyDescent="0.3">
      <c r="A1876" s="181"/>
      <c r="B1876" s="179"/>
      <c r="C1876" s="25" t="s">
        <v>96</v>
      </c>
      <c r="D1876" s="36" t="s">
        <v>21</v>
      </c>
      <c r="E1876" s="26">
        <v>2.5</v>
      </c>
      <c r="F1876" s="27" t="s">
        <v>1181</v>
      </c>
      <c r="G1876" s="19">
        <v>15.275999999999998</v>
      </c>
      <c r="H1876" s="27" t="s">
        <v>98</v>
      </c>
      <c r="I1876" s="23">
        <f>IF(ISNUMBER(G1876),E1876*G1876,"")</f>
        <v>38.19</v>
      </c>
      <c r="J1876" s="28">
        <f>SUM(I1876:I1878)</f>
        <v>88.13624999999999</v>
      </c>
      <c r="K1876" s="29"/>
      <c r="L1876" s="174">
        <v>0</v>
      </c>
    </row>
    <row r="1877" spans="1:12" ht="26.25" hidden="1" thickBot="1" x14ac:dyDescent="0.3">
      <c r="A1877" s="181"/>
      <c r="B1877" s="179"/>
      <c r="C1877" s="25" t="s">
        <v>1157</v>
      </c>
      <c r="D1877" s="36" t="s">
        <v>21</v>
      </c>
      <c r="E1877" s="26">
        <v>2.5</v>
      </c>
      <c r="F1877" s="27" t="s">
        <v>1181</v>
      </c>
      <c r="G1877" s="19">
        <v>19.9785</v>
      </c>
      <c r="H1877" s="27" t="s">
        <v>161</v>
      </c>
      <c r="I1877" s="23">
        <f>IF(ISNUMBER(G1877),E1877*G1877,"")</f>
        <v>49.946249999999999</v>
      </c>
      <c r="J1877" s="24"/>
      <c r="K1877" s="19"/>
      <c r="L1877" s="174">
        <v>0</v>
      </c>
    </row>
    <row r="1878" spans="1:12" ht="26.25" hidden="1" thickBot="1" x14ac:dyDescent="0.3">
      <c r="A1878" s="181"/>
      <c r="B1878" s="179"/>
      <c r="C1878" s="25" t="s">
        <v>1192</v>
      </c>
      <c r="D1878" s="25" t="s">
        <v>305</v>
      </c>
      <c r="E1878" s="26">
        <v>1</v>
      </c>
      <c r="F1878" s="27" t="s">
        <v>1181</v>
      </c>
      <c r="G1878" s="23" t="s">
        <v>1079</v>
      </c>
      <c r="H1878" s="27" t="s">
        <v>33</v>
      </c>
      <c r="I1878" s="23" t="str">
        <f>IF(ISNUMBER(G1878),E1878*G1878,"")</f>
        <v/>
      </c>
      <c r="J1878" s="24"/>
      <c r="K1878" s="19"/>
      <c r="L1878" s="174">
        <v>0</v>
      </c>
    </row>
    <row r="1879" spans="1:12" ht="15.75" hidden="1" thickBot="1" x14ac:dyDescent="0.3">
      <c r="A1879" s="182"/>
      <c r="B1879" s="183"/>
      <c r="C1879" s="25"/>
      <c r="D1879" s="25"/>
      <c r="E1879" s="26"/>
      <c r="F1879" s="27"/>
      <c r="G1879" s="19" t="s">
        <v>1079</v>
      </c>
      <c r="H1879" s="27"/>
      <c r="I1879" s="19" t="str">
        <f>IF(ISNUMBER(G1879),E1879*G1879,"")</f>
        <v/>
      </c>
      <c r="J1879" s="24"/>
      <c r="K1879" s="19"/>
      <c r="L1879" s="174">
        <v>0</v>
      </c>
    </row>
    <row r="1880" spans="1:12" ht="15.75" hidden="1" thickBot="1" x14ac:dyDescent="0.3">
      <c r="A1880" s="180" t="s">
        <v>1193</v>
      </c>
      <c r="B1880" s="178" t="str">
        <f>INDEX(Orçamentária!A:B,MATCH(Composições!A1880,Orçamentária!A:A,0),2)</f>
        <v>Difusor de ar retangular para insuflamento em três direções 371x208 mm</v>
      </c>
      <c r="C1880" s="30"/>
      <c r="D1880" s="13" t="str">
        <f>TRIM(INDEX(Orçamentária!C:C,MATCH(Composições!A1880,Orçamentária!A:A,0),1))</f>
        <v>un</v>
      </c>
      <c r="E1880" s="14"/>
      <c r="F1880" s="15" t="s">
        <v>1180</v>
      </c>
      <c r="G1880" s="31" t="s">
        <v>1079</v>
      </c>
      <c r="H1880" s="16"/>
      <c r="I1880" s="16" t="str">
        <f>IF(ISNUMBER(G1880),E1880*G1880,"")</f>
        <v/>
      </c>
      <c r="J1880" s="17"/>
      <c r="K1880" s="18"/>
      <c r="L1880" s="174">
        <v>0</v>
      </c>
    </row>
    <row r="1881" spans="1:12" ht="15.75" hidden="1" thickBot="1" x14ac:dyDescent="0.3">
      <c r="A1881" s="181"/>
      <c r="B1881" s="179"/>
      <c r="C1881" s="20"/>
      <c r="D1881" s="20"/>
      <c r="E1881" s="21"/>
      <c r="F1881" s="22"/>
      <c r="G1881" s="32" t="s">
        <v>1079</v>
      </c>
      <c r="H1881" s="20"/>
      <c r="I1881" s="19" t="str">
        <f>IF(ISNUMBER(G1881),E1881*G1881,"")</f>
        <v/>
      </c>
      <c r="J1881" s="24"/>
      <c r="K1881" s="19"/>
      <c r="L1881" s="174">
        <v>0</v>
      </c>
    </row>
    <row r="1882" spans="1:12" ht="15.75" hidden="1" thickBot="1" x14ac:dyDescent="0.3">
      <c r="A1882" s="181"/>
      <c r="B1882" s="179"/>
      <c r="C1882" s="25" t="s">
        <v>96</v>
      </c>
      <c r="D1882" s="36" t="s">
        <v>21</v>
      </c>
      <c r="E1882" s="26">
        <v>2.5</v>
      </c>
      <c r="F1882" s="27" t="s">
        <v>1181</v>
      </c>
      <c r="G1882" s="19">
        <v>15.275999999999998</v>
      </c>
      <c r="H1882" s="27" t="s">
        <v>98</v>
      </c>
      <c r="I1882" s="23">
        <f>IF(ISNUMBER(G1882),E1882*G1882,"")</f>
        <v>38.19</v>
      </c>
      <c r="J1882" s="28">
        <f>SUM(I1882:I1884)</f>
        <v>88.13624999999999</v>
      </c>
      <c r="K1882" s="29"/>
      <c r="L1882" s="174">
        <v>0</v>
      </c>
    </row>
    <row r="1883" spans="1:12" ht="26.25" hidden="1" thickBot="1" x14ac:dyDescent="0.3">
      <c r="A1883" s="181"/>
      <c r="B1883" s="179"/>
      <c r="C1883" s="25" t="s">
        <v>1157</v>
      </c>
      <c r="D1883" s="36" t="s">
        <v>21</v>
      </c>
      <c r="E1883" s="26">
        <v>2.5</v>
      </c>
      <c r="F1883" s="27" t="s">
        <v>1181</v>
      </c>
      <c r="G1883" s="19">
        <v>19.9785</v>
      </c>
      <c r="H1883" s="27" t="s">
        <v>161</v>
      </c>
      <c r="I1883" s="23">
        <f>IF(ISNUMBER(G1883),E1883*G1883,"")</f>
        <v>49.946249999999999</v>
      </c>
      <c r="J1883" s="24"/>
      <c r="K1883" s="19"/>
      <c r="L1883" s="174">
        <v>0</v>
      </c>
    </row>
    <row r="1884" spans="1:12" ht="39" hidden="1" thickBot="1" x14ac:dyDescent="0.3">
      <c r="A1884" s="181"/>
      <c r="B1884" s="179"/>
      <c r="C1884" s="25" t="s">
        <v>1194</v>
      </c>
      <c r="D1884" s="25" t="s">
        <v>305</v>
      </c>
      <c r="E1884" s="26">
        <v>1</v>
      </c>
      <c r="F1884" s="27" t="s">
        <v>1181</v>
      </c>
      <c r="G1884" s="23" t="s">
        <v>1079</v>
      </c>
      <c r="H1884" s="27" t="s">
        <v>33</v>
      </c>
      <c r="I1884" s="23" t="str">
        <f>IF(ISNUMBER(G1884),E1884*G1884,"")</f>
        <v/>
      </c>
      <c r="J1884" s="24"/>
      <c r="K1884" s="19"/>
      <c r="L1884" s="174">
        <v>0</v>
      </c>
    </row>
    <row r="1885" spans="1:12" ht="15.75" hidden="1" thickBot="1" x14ac:dyDescent="0.3">
      <c r="A1885" s="182"/>
      <c r="B1885" s="183"/>
      <c r="C1885" s="25"/>
      <c r="D1885" s="25"/>
      <c r="E1885" s="26"/>
      <c r="F1885" s="27"/>
      <c r="G1885" s="19" t="s">
        <v>1079</v>
      </c>
      <c r="H1885" s="27"/>
      <c r="I1885" s="19" t="str">
        <f>IF(ISNUMBER(G1885),E1885*G1885,"")</f>
        <v/>
      </c>
      <c r="J1885" s="24"/>
      <c r="K1885" s="19"/>
      <c r="L1885" s="174">
        <v>0</v>
      </c>
    </row>
    <row r="1886" spans="1:12" ht="15.75" hidden="1" thickBot="1" x14ac:dyDescent="0.3">
      <c r="A1886" s="180" t="s">
        <v>1195</v>
      </c>
      <c r="B1886" s="178" t="str">
        <f>INDEX(Orçamentária!A:B,MATCH(Composições!A1886,Orçamentária!A:A,0),2)</f>
        <v>Difusor de ar retangular para insuflamento em uma direção 371x208 mm</v>
      </c>
      <c r="C1886" s="30"/>
      <c r="D1886" s="13" t="str">
        <f>TRIM(INDEX(Orçamentária!C:C,MATCH(Composições!A1886,Orçamentária!A:A,0),1))</f>
        <v>un</v>
      </c>
      <c r="E1886" s="14"/>
      <c r="F1886" s="15" t="s">
        <v>1180</v>
      </c>
      <c r="G1886" s="31" t="s">
        <v>1079</v>
      </c>
      <c r="H1886" s="16"/>
      <c r="I1886" s="16" t="str">
        <f>IF(ISNUMBER(G1886),E1886*G1886,"")</f>
        <v/>
      </c>
      <c r="J1886" s="17"/>
      <c r="K1886" s="18"/>
      <c r="L1886" s="174">
        <v>0</v>
      </c>
    </row>
    <row r="1887" spans="1:12" ht="15.75" hidden="1" thickBot="1" x14ac:dyDescent="0.3">
      <c r="A1887" s="181"/>
      <c r="B1887" s="179"/>
      <c r="C1887" s="20"/>
      <c r="D1887" s="20"/>
      <c r="E1887" s="21"/>
      <c r="F1887" s="22"/>
      <c r="G1887" s="32" t="s">
        <v>1079</v>
      </c>
      <c r="H1887" s="20"/>
      <c r="I1887" s="19" t="str">
        <f>IF(ISNUMBER(G1887),E1887*G1887,"")</f>
        <v/>
      </c>
      <c r="J1887" s="24"/>
      <c r="K1887" s="19"/>
      <c r="L1887" s="174">
        <v>0</v>
      </c>
    </row>
    <row r="1888" spans="1:12" ht="15.75" hidden="1" thickBot="1" x14ac:dyDescent="0.3">
      <c r="A1888" s="181"/>
      <c r="B1888" s="179"/>
      <c r="C1888" s="25" t="s">
        <v>96</v>
      </c>
      <c r="D1888" s="36" t="s">
        <v>21</v>
      </c>
      <c r="E1888" s="26">
        <v>2.5</v>
      </c>
      <c r="F1888" s="27" t="s">
        <v>1181</v>
      </c>
      <c r="G1888" s="19">
        <v>15.275999999999998</v>
      </c>
      <c r="H1888" s="27" t="s">
        <v>98</v>
      </c>
      <c r="I1888" s="19">
        <f>IF(ISNUMBER(G1888),E1888*G1888,"")</f>
        <v>38.19</v>
      </c>
      <c r="J1888" s="28">
        <f>SUM(I1888:I1890)</f>
        <v>88.13624999999999</v>
      </c>
      <c r="K1888" s="29"/>
      <c r="L1888" s="174">
        <v>0</v>
      </c>
    </row>
    <row r="1889" spans="1:12" ht="26.25" hidden="1" thickBot="1" x14ac:dyDescent="0.3">
      <c r="A1889" s="181"/>
      <c r="B1889" s="179"/>
      <c r="C1889" s="25" t="s">
        <v>1157</v>
      </c>
      <c r="D1889" s="36" t="s">
        <v>21</v>
      </c>
      <c r="E1889" s="26">
        <v>2.5</v>
      </c>
      <c r="F1889" s="27" t="s">
        <v>1181</v>
      </c>
      <c r="G1889" s="19">
        <v>19.9785</v>
      </c>
      <c r="H1889" s="27" t="s">
        <v>161</v>
      </c>
      <c r="I1889" s="19">
        <f>IF(ISNUMBER(G1889),E1889*G1889,"")</f>
        <v>49.946249999999999</v>
      </c>
      <c r="J1889" s="24"/>
      <c r="K1889" s="19"/>
      <c r="L1889" s="174">
        <v>0</v>
      </c>
    </row>
    <row r="1890" spans="1:12" ht="39" hidden="1" thickBot="1" x14ac:dyDescent="0.3">
      <c r="A1890" s="181"/>
      <c r="B1890" s="179"/>
      <c r="C1890" s="25" t="s">
        <v>1196</v>
      </c>
      <c r="D1890" s="25" t="s">
        <v>305</v>
      </c>
      <c r="E1890" s="26">
        <v>1</v>
      </c>
      <c r="F1890" s="27" t="s">
        <v>1181</v>
      </c>
      <c r="G1890" s="23" t="s">
        <v>1079</v>
      </c>
      <c r="H1890" s="27" t="s">
        <v>33</v>
      </c>
      <c r="I1890" s="19" t="str">
        <f>IF(ISNUMBER(G1890),E1890*G1890,"")</f>
        <v/>
      </c>
      <c r="J1890" s="24"/>
      <c r="K1890" s="19"/>
      <c r="L1890" s="174">
        <v>0</v>
      </c>
    </row>
    <row r="1891" spans="1:12" ht="15.75" hidden="1" thickBot="1" x14ac:dyDescent="0.3">
      <c r="A1891" s="182"/>
      <c r="B1891" s="183"/>
      <c r="C1891" s="25"/>
      <c r="D1891" s="25"/>
      <c r="E1891" s="26"/>
      <c r="F1891" s="27"/>
      <c r="G1891" s="19" t="s">
        <v>1079</v>
      </c>
      <c r="H1891" s="27"/>
      <c r="I1891" s="19" t="str">
        <f>IF(ISNUMBER(G1891),E1891*G1891,"")</f>
        <v/>
      </c>
      <c r="J1891" s="24"/>
      <c r="K1891" s="19"/>
      <c r="L1891" s="174">
        <v>0</v>
      </c>
    </row>
    <row r="1892" spans="1:12" ht="15.75" hidden="1" thickBot="1" x14ac:dyDescent="0.3">
      <c r="A1892" s="180" t="s">
        <v>1197</v>
      </c>
      <c r="B1892" s="178" t="str">
        <f>INDEX(Orçamentária!A:B,MATCH(Composições!A1892,Orçamentária!A:A,0),2)</f>
        <v>Grelha para retorno retangular 425x225 mm</v>
      </c>
      <c r="C1892" s="30"/>
      <c r="D1892" s="13" t="str">
        <f>TRIM(INDEX(Orçamentária!C:C,MATCH(Composições!A1892,Orçamentária!A:A,0),1))</f>
        <v>un</v>
      </c>
      <c r="E1892" s="14"/>
      <c r="F1892" s="15" t="s">
        <v>1198</v>
      </c>
      <c r="G1892" s="31" t="s">
        <v>1079</v>
      </c>
      <c r="H1892" s="16"/>
      <c r="I1892" s="16" t="str">
        <f>IF(ISNUMBER(G1892),E1892*G1892,"")</f>
        <v/>
      </c>
      <c r="J1892" s="17"/>
      <c r="K1892" s="18"/>
      <c r="L1892" s="174">
        <v>0</v>
      </c>
    </row>
    <row r="1893" spans="1:12" ht="15.75" hidden="1" thickBot="1" x14ac:dyDescent="0.3">
      <c r="A1893" s="181"/>
      <c r="B1893" s="179"/>
      <c r="C1893" s="20"/>
      <c r="D1893" s="20"/>
      <c r="E1893" s="21"/>
      <c r="F1893" s="22"/>
      <c r="G1893" s="32" t="s">
        <v>1079</v>
      </c>
      <c r="H1893" s="20"/>
      <c r="I1893" s="19" t="str">
        <f>IF(ISNUMBER(G1893),E1893*G1893,"")</f>
        <v/>
      </c>
      <c r="J1893" s="24"/>
      <c r="K1893" s="19"/>
      <c r="L1893" s="174">
        <v>0</v>
      </c>
    </row>
    <row r="1894" spans="1:12" ht="15.75" hidden="1" thickBot="1" x14ac:dyDescent="0.3">
      <c r="A1894" s="181"/>
      <c r="B1894" s="179"/>
      <c r="C1894" s="25" t="s">
        <v>96</v>
      </c>
      <c r="D1894" s="36" t="s">
        <v>21</v>
      </c>
      <c r="E1894" s="26">
        <v>3.5</v>
      </c>
      <c r="F1894" s="27" t="s">
        <v>1199</v>
      </c>
      <c r="G1894" s="19">
        <v>15.275999999999998</v>
      </c>
      <c r="H1894" s="27" t="s">
        <v>98</v>
      </c>
      <c r="I1894" s="23">
        <f>IF(ISNUMBER(G1894),E1894*G1894,"")</f>
        <v>53.465999999999994</v>
      </c>
      <c r="J1894" s="28">
        <f>SUM(I1894:I1896)</f>
        <v>123.39075</v>
      </c>
      <c r="K1894" s="29"/>
      <c r="L1894" s="174">
        <v>0</v>
      </c>
    </row>
    <row r="1895" spans="1:12" ht="26.25" hidden="1" thickBot="1" x14ac:dyDescent="0.3">
      <c r="A1895" s="181"/>
      <c r="B1895" s="179"/>
      <c r="C1895" s="25" t="s">
        <v>1157</v>
      </c>
      <c r="D1895" s="36" t="s">
        <v>21</v>
      </c>
      <c r="E1895" s="26">
        <v>3.5</v>
      </c>
      <c r="F1895" s="27" t="s">
        <v>1199</v>
      </c>
      <c r="G1895" s="19">
        <v>19.9785</v>
      </c>
      <c r="H1895" s="27" t="s">
        <v>161</v>
      </c>
      <c r="I1895" s="23">
        <f>IF(ISNUMBER(G1895),E1895*G1895,"")</f>
        <v>69.924750000000003</v>
      </c>
      <c r="J1895" s="24"/>
      <c r="K1895" s="19"/>
      <c r="L1895" s="174">
        <v>0</v>
      </c>
    </row>
    <row r="1896" spans="1:12" ht="15.75" hidden="1" thickBot="1" x14ac:dyDescent="0.3">
      <c r="A1896" s="181"/>
      <c r="B1896" s="179"/>
      <c r="C1896" s="25" t="s">
        <v>1200</v>
      </c>
      <c r="D1896" s="25" t="s">
        <v>305</v>
      </c>
      <c r="E1896" s="26">
        <v>1</v>
      </c>
      <c r="F1896" s="27" t="s">
        <v>1199</v>
      </c>
      <c r="G1896" s="23">
        <v>0</v>
      </c>
      <c r="H1896" s="27" t="s">
        <v>1201</v>
      </c>
      <c r="I1896" s="23">
        <f>IF(ISNUMBER(G1896),E1896*G1896,"")</f>
        <v>0</v>
      </c>
      <c r="J1896" s="24"/>
      <c r="K1896" s="19"/>
      <c r="L1896" s="174">
        <v>0</v>
      </c>
    </row>
    <row r="1897" spans="1:12" ht="15.75" hidden="1" thickBot="1" x14ac:dyDescent="0.3">
      <c r="A1897" s="182"/>
      <c r="B1897" s="183"/>
      <c r="C1897" s="25"/>
      <c r="D1897" s="25"/>
      <c r="E1897" s="26"/>
      <c r="F1897" s="27"/>
      <c r="G1897" s="19" t="s">
        <v>1079</v>
      </c>
      <c r="H1897" s="27"/>
      <c r="I1897" s="19" t="str">
        <f>IF(ISNUMBER(G1897),E1897*G1897,"")</f>
        <v/>
      </c>
      <c r="J1897" s="24"/>
      <c r="K1897" s="19"/>
      <c r="L1897" s="174">
        <v>0</v>
      </c>
    </row>
    <row r="1898" spans="1:12" ht="15.75" hidden="1" thickBot="1" x14ac:dyDescent="0.3">
      <c r="A1898" s="180" t="s">
        <v>1202</v>
      </c>
      <c r="B1898" s="178" t="str">
        <f>INDEX(Orçamentária!A:B,MATCH(Composições!A1898,Orçamentária!A:A,0),2)</f>
        <v>Grelha para retorno retangular 525x325 mm</v>
      </c>
      <c r="C1898" s="30"/>
      <c r="D1898" s="13" t="str">
        <f>TRIM(INDEX(Orçamentária!C:C,MATCH(Composições!A1898,Orçamentária!A:A,0),1))</f>
        <v>un</v>
      </c>
      <c r="E1898" s="14"/>
      <c r="F1898" s="15" t="s">
        <v>1198</v>
      </c>
      <c r="G1898" s="31" t="s">
        <v>1079</v>
      </c>
      <c r="H1898" s="16"/>
      <c r="I1898" s="16" t="str">
        <f>IF(ISNUMBER(G1898),E1898*G1898,"")</f>
        <v/>
      </c>
      <c r="J1898" s="17"/>
      <c r="K1898" s="18"/>
      <c r="L1898" s="174">
        <v>0</v>
      </c>
    </row>
    <row r="1899" spans="1:12" ht="15.75" hidden="1" thickBot="1" x14ac:dyDescent="0.3">
      <c r="A1899" s="181"/>
      <c r="B1899" s="179"/>
      <c r="C1899" s="20"/>
      <c r="D1899" s="20"/>
      <c r="E1899" s="21"/>
      <c r="F1899" s="22"/>
      <c r="G1899" s="32" t="s">
        <v>1079</v>
      </c>
      <c r="H1899" s="20"/>
      <c r="I1899" s="19" t="str">
        <f>IF(ISNUMBER(G1899),E1899*G1899,"")</f>
        <v/>
      </c>
      <c r="J1899" s="24"/>
      <c r="K1899" s="19"/>
      <c r="L1899" s="174">
        <v>0</v>
      </c>
    </row>
    <row r="1900" spans="1:12" ht="15.75" hidden="1" thickBot="1" x14ac:dyDescent="0.3">
      <c r="A1900" s="181"/>
      <c r="B1900" s="179"/>
      <c r="C1900" s="25" t="s">
        <v>96</v>
      </c>
      <c r="D1900" s="36" t="s">
        <v>21</v>
      </c>
      <c r="E1900" s="26">
        <v>3.5</v>
      </c>
      <c r="F1900" s="27" t="s">
        <v>1199</v>
      </c>
      <c r="G1900" s="19">
        <v>15.275999999999998</v>
      </c>
      <c r="H1900" s="27" t="s">
        <v>98</v>
      </c>
      <c r="I1900" s="19">
        <f>IF(ISNUMBER(G1900),E1900*G1900,"")</f>
        <v>53.465999999999994</v>
      </c>
      <c r="J1900" s="28">
        <f>SUM(I1900:I1902)</f>
        <v>123.39075</v>
      </c>
      <c r="K1900" s="29"/>
      <c r="L1900" s="174">
        <v>0</v>
      </c>
    </row>
    <row r="1901" spans="1:12" ht="26.25" hidden="1" thickBot="1" x14ac:dyDescent="0.3">
      <c r="A1901" s="181"/>
      <c r="B1901" s="179"/>
      <c r="C1901" s="25" t="s">
        <v>1157</v>
      </c>
      <c r="D1901" s="36" t="s">
        <v>21</v>
      </c>
      <c r="E1901" s="26">
        <v>3.5</v>
      </c>
      <c r="F1901" s="27" t="s">
        <v>1199</v>
      </c>
      <c r="G1901" s="19">
        <v>19.9785</v>
      </c>
      <c r="H1901" s="27" t="s">
        <v>161</v>
      </c>
      <c r="I1901" s="19">
        <f>IF(ISNUMBER(G1901),E1901*G1901,"")</f>
        <v>69.924750000000003</v>
      </c>
      <c r="J1901" s="24"/>
      <c r="K1901" s="19"/>
      <c r="L1901" s="174">
        <v>0</v>
      </c>
    </row>
    <row r="1902" spans="1:12" ht="15.75" hidden="1" thickBot="1" x14ac:dyDescent="0.3">
      <c r="A1902" s="181"/>
      <c r="B1902" s="179"/>
      <c r="C1902" s="25" t="s">
        <v>1203</v>
      </c>
      <c r="D1902" s="25" t="s">
        <v>305</v>
      </c>
      <c r="E1902" s="26">
        <v>1</v>
      </c>
      <c r="F1902" s="27" t="s">
        <v>1199</v>
      </c>
      <c r="G1902" s="19">
        <v>0</v>
      </c>
      <c r="H1902" s="27" t="s">
        <v>1204</v>
      </c>
      <c r="I1902" s="19">
        <f>IF(ISNUMBER(G1902),E1902*G1902,"")</f>
        <v>0</v>
      </c>
      <c r="J1902" s="24"/>
      <c r="K1902" s="19"/>
      <c r="L1902" s="174">
        <v>0</v>
      </c>
    </row>
    <row r="1903" spans="1:12" ht="15.75" hidden="1" thickBot="1" x14ac:dyDescent="0.3">
      <c r="A1903" s="182"/>
      <c r="B1903" s="183"/>
      <c r="C1903" s="25"/>
      <c r="D1903" s="25"/>
      <c r="E1903" s="26"/>
      <c r="F1903" s="27"/>
      <c r="G1903" s="19" t="s">
        <v>1079</v>
      </c>
      <c r="H1903" s="27"/>
      <c r="I1903" s="19" t="str">
        <f>IF(ISNUMBER(G1903),E1903*G1903,"")</f>
        <v/>
      </c>
      <c r="J1903" s="24"/>
      <c r="K1903" s="19"/>
      <c r="L1903" s="174">
        <v>0</v>
      </c>
    </row>
    <row r="1904" spans="1:12" ht="15.75" hidden="1" thickBot="1" x14ac:dyDescent="0.3">
      <c r="A1904" s="180" t="s">
        <v>1205</v>
      </c>
      <c r="B1904" s="178" t="str">
        <f>INDEX(Orçamentária!A:B,MATCH(Composições!A1904,Orçamentária!A:A,0),2)</f>
        <v>Instalação de difusores, grelhas e acessórios de climatização reaproveitados</v>
      </c>
      <c r="C1904" s="30"/>
      <c r="D1904" s="13" t="str">
        <f>TRIM(INDEX(Orçamentária!C:C,MATCH(Composições!A1904,Orçamentária!A:A,0),1))</f>
        <v>un</v>
      </c>
      <c r="E1904" s="14"/>
      <c r="F1904" s="15" t="s">
        <v>1180</v>
      </c>
      <c r="G1904" s="31" t="s">
        <v>1079</v>
      </c>
      <c r="H1904" s="16"/>
      <c r="I1904" s="16" t="str">
        <f>IF(ISNUMBER(G1904),E1904*G1904,"")</f>
        <v/>
      </c>
      <c r="J1904" s="17"/>
      <c r="K1904" s="18"/>
      <c r="L1904" s="174">
        <v>0</v>
      </c>
    </row>
    <row r="1905" spans="1:12" ht="15.75" hidden="1" thickBot="1" x14ac:dyDescent="0.3">
      <c r="A1905" s="181"/>
      <c r="B1905" s="179"/>
      <c r="C1905" s="20"/>
      <c r="D1905" s="20"/>
      <c r="E1905" s="21"/>
      <c r="F1905" s="22"/>
      <c r="G1905" s="32" t="s">
        <v>1079</v>
      </c>
      <c r="H1905" s="20"/>
      <c r="I1905" s="19" t="str">
        <f>IF(ISNUMBER(G1905),E1905*G1905,"")</f>
        <v/>
      </c>
      <c r="J1905" s="24"/>
      <c r="K1905" s="19"/>
      <c r="L1905" s="174">
        <v>0</v>
      </c>
    </row>
    <row r="1906" spans="1:12" ht="15.75" hidden="1" thickBot="1" x14ac:dyDescent="0.3">
      <c r="A1906" s="181"/>
      <c r="B1906" s="179"/>
      <c r="C1906" s="25" t="s">
        <v>96</v>
      </c>
      <c r="D1906" s="36" t="s">
        <v>21</v>
      </c>
      <c r="E1906" s="26">
        <v>2.5</v>
      </c>
      <c r="F1906" s="27" t="s">
        <v>1181</v>
      </c>
      <c r="G1906" s="19">
        <v>15.275999999999998</v>
      </c>
      <c r="H1906" s="27" t="s">
        <v>98</v>
      </c>
      <c r="I1906" s="19">
        <f>IF(ISNUMBER(G1906),E1906*G1906,"")</f>
        <v>38.19</v>
      </c>
      <c r="J1906" s="28">
        <f>SUM(I1906:I1907)</f>
        <v>88.13624999999999</v>
      </c>
      <c r="K1906" s="29"/>
      <c r="L1906" s="174">
        <v>0</v>
      </c>
    </row>
    <row r="1907" spans="1:12" ht="26.25" hidden="1" thickBot="1" x14ac:dyDescent="0.3">
      <c r="A1907" s="181"/>
      <c r="B1907" s="179"/>
      <c r="C1907" s="25" t="s">
        <v>1157</v>
      </c>
      <c r="D1907" s="36" t="s">
        <v>21</v>
      </c>
      <c r="E1907" s="26">
        <v>2.5</v>
      </c>
      <c r="F1907" s="27" t="s">
        <v>1181</v>
      </c>
      <c r="G1907" s="19">
        <v>19.9785</v>
      </c>
      <c r="H1907" s="27" t="s">
        <v>161</v>
      </c>
      <c r="I1907" s="19">
        <f>IF(ISNUMBER(G1907),E1907*G1907,"")</f>
        <v>49.946249999999999</v>
      </c>
      <c r="J1907" s="24"/>
      <c r="K1907" s="19"/>
      <c r="L1907" s="174">
        <v>0</v>
      </c>
    </row>
    <row r="1908" spans="1:12" ht="15.75" hidden="1" thickBot="1" x14ac:dyDescent="0.3">
      <c r="A1908" s="182"/>
      <c r="B1908" s="183"/>
      <c r="C1908" s="25"/>
      <c r="D1908" s="25"/>
      <c r="E1908" s="26"/>
      <c r="F1908" s="27"/>
      <c r="G1908" s="19" t="s">
        <v>1079</v>
      </c>
      <c r="H1908" s="27"/>
      <c r="I1908" s="19" t="str">
        <f>IF(ISNUMBER(G1908),E1908*G1908,"")</f>
        <v/>
      </c>
      <c r="J1908" s="24"/>
      <c r="K1908" s="19"/>
      <c r="L1908" s="174">
        <v>0</v>
      </c>
    </row>
    <row r="1909" spans="1:12" ht="15.75" hidden="1" thickBot="1" x14ac:dyDescent="0.3">
      <c r="A1909" s="180" t="s">
        <v>1206</v>
      </c>
      <c r="B1909" s="178" t="str">
        <f>INDEX(Orçamentária!A:B,MATCH(Composições!A1909,Orçamentária!A:A,0),2)</f>
        <v>Instalação de exaustor reaproveitado</v>
      </c>
      <c r="C1909" s="30"/>
      <c r="D1909" s="13" t="str">
        <f>TRIM(INDEX(Orçamentária!C:C,MATCH(Composições!A1909,Orçamentária!A:A,0),1))</f>
        <v>un</v>
      </c>
      <c r="E1909" s="14"/>
      <c r="F1909" s="15" t="s">
        <v>1160</v>
      </c>
      <c r="G1909" s="31" t="s">
        <v>1079</v>
      </c>
      <c r="H1909" s="16"/>
      <c r="I1909" s="16" t="str">
        <f>IF(ISNUMBER(G1909),E1909*G1909,"")</f>
        <v/>
      </c>
      <c r="J1909" s="17"/>
      <c r="K1909" s="18"/>
      <c r="L1909" s="174">
        <v>0</v>
      </c>
    </row>
    <row r="1910" spans="1:12" ht="15.75" hidden="1" thickBot="1" x14ac:dyDescent="0.3">
      <c r="A1910" s="181"/>
      <c r="B1910" s="179"/>
      <c r="C1910" s="20"/>
      <c r="D1910" s="20"/>
      <c r="E1910" s="21"/>
      <c r="F1910" s="22"/>
      <c r="G1910" s="32" t="s">
        <v>1079</v>
      </c>
      <c r="H1910" s="20"/>
      <c r="I1910" s="19" t="str">
        <f>IF(ISNUMBER(G1910),E1910*G1910,"")</f>
        <v/>
      </c>
      <c r="J1910" s="24"/>
      <c r="K1910" s="19"/>
      <c r="L1910" s="174">
        <v>0</v>
      </c>
    </row>
    <row r="1911" spans="1:12" ht="15.75" hidden="1" thickBot="1" x14ac:dyDescent="0.3">
      <c r="A1911" s="181"/>
      <c r="B1911" s="179"/>
      <c r="C1911" s="25" t="s">
        <v>54</v>
      </c>
      <c r="D1911" s="25" t="s">
        <v>21</v>
      </c>
      <c r="E1911" s="26">
        <v>1</v>
      </c>
      <c r="F1911" s="27" t="s">
        <v>1161</v>
      </c>
      <c r="G1911" s="19">
        <v>19.313499999999998</v>
      </c>
      <c r="H1911" s="27" t="s">
        <v>55</v>
      </c>
      <c r="I1911" s="23">
        <f>IF(ISNUMBER(G1911),E1911*G1911,"")</f>
        <v>19.313499999999998</v>
      </c>
      <c r="J1911" s="28">
        <f>SUM(I1911:I1912)</f>
        <v>34.532499999999999</v>
      </c>
      <c r="K1911" s="29"/>
      <c r="L1911" s="174">
        <v>0</v>
      </c>
    </row>
    <row r="1912" spans="1:12" ht="15.75" hidden="1" thickBot="1" x14ac:dyDescent="0.3">
      <c r="A1912" s="181"/>
      <c r="B1912" s="179"/>
      <c r="C1912" s="25" t="s">
        <v>144</v>
      </c>
      <c r="D1912" s="36" t="s">
        <v>21</v>
      </c>
      <c r="E1912" s="26">
        <v>1</v>
      </c>
      <c r="F1912" s="27" t="s">
        <v>1161</v>
      </c>
      <c r="G1912" s="19">
        <v>15.218999999999999</v>
      </c>
      <c r="H1912" s="27" t="s">
        <v>145</v>
      </c>
      <c r="I1912" s="23">
        <f>IF(ISNUMBER(G1912),E1912*G1912,"")</f>
        <v>15.218999999999999</v>
      </c>
      <c r="J1912" s="24"/>
      <c r="K1912" s="19"/>
      <c r="L1912" s="174">
        <v>0</v>
      </c>
    </row>
    <row r="1913" spans="1:12" ht="15.75" hidden="1" thickBot="1" x14ac:dyDescent="0.3">
      <c r="A1913" s="182"/>
      <c r="B1913" s="183"/>
      <c r="C1913" s="25"/>
      <c r="D1913" s="25"/>
      <c r="E1913" s="26"/>
      <c r="F1913" s="27"/>
      <c r="G1913" s="19" t="s">
        <v>1079</v>
      </c>
      <c r="H1913" s="27"/>
      <c r="I1913" s="19" t="str">
        <f>IF(ISNUMBER(G1913),E1913*G1913,"")</f>
        <v/>
      </c>
      <c r="J1913" s="24"/>
      <c r="K1913" s="19"/>
      <c r="L1913" s="174">
        <v>0</v>
      </c>
    </row>
    <row r="1914" spans="1:12" ht="15.75" hidden="1" thickBot="1" x14ac:dyDescent="0.3">
      <c r="A1914" s="180" t="s">
        <v>1207</v>
      </c>
      <c r="B1914" s="178" t="str">
        <f>INDEX(Orçamentária!A:B,MATCH(Composições!A1914,Orçamentária!A:A,0),2)</f>
        <v>Preparação para instalação de difusores/grelhas de ar em portas</v>
      </c>
      <c r="C1914" s="30"/>
      <c r="D1914" s="13" t="str">
        <f>TRIM(INDEX(Orçamentária!C:C,MATCH(Composições!A1914,Orçamentária!A:A,0),1))</f>
        <v>un</v>
      </c>
      <c r="E1914" s="14"/>
      <c r="F1914" s="15" t="s">
        <v>17</v>
      </c>
      <c r="G1914" s="31" t="s">
        <v>1079</v>
      </c>
      <c r="H1914" s="16"/>
      <c r="I1914" s="16" t="str">
        <f>IF(ISNUMBER(G1914),E1914*G1914,"")</f>
        <v/>
      </c>
      <c r="J1914" s="17"/>
      <c r="K1914" s="18"/>
      <c r="L1914" s="174">
        <v>0</v>
      </c>
    </row>
    <row r="1915" spans="1:12" ht="15.75" hidden="1" thickBot="1" x14ac:dyDescent="0.3">
      <c r="A1915" s="181"/>
      <c r="B1915" s="179"/>
      <c r="C1915" s="20"/>
      <c r="D1915" s="20"/>
      <c r="E1915" s="21"/>
      <c r="F1915" s="22"/>
      <c r="G1915" s="32" t="s">
        <v>1079</v>
      </c>
      <c r="H1915" s="20"/>
      <c r="I1915" s="19" t="str">
        <f>IF(ISNUMBER(G1915),E1915*G1915,"")</f>
        <v/>
      </c>
      <c r="J1915" s="24"/>
      <c r="K1915" s="19"/>
      <c r="L1915" s="174">
        <v>0</v>
      </c>
    </row>
    <row r="1916" spans="1:12" ht="15.75" hidden="1" thickBot="1" x14ac:dyDescent="0.3">
      <c r="A1916" s="181"/>
      <c r="B1916" s="179"/>
      <c r="C1916" s="25" t="s">
        <v>1208</v>
      </c>
      <c r="D1916" s="25" t="s">
        <v>21</v>
      </c>
      <c r="E1916" s="26">
        <v>0.75</v>
      </c>
      <c r="F1916" s="27" t="s">
        <v>17</v>
      </c>
      <c r="G1916" s="19">
        <v>19.341999999999999</v>
      </c>
      <c r="H1916" s="27" t="s">
        <v>1209</v>
      </c>
      <c r="I1916" s="23">
        <f>IF(ISNUMBER(G1916),E1916*G1916,"")</f>
        <v>14.506499999999999</v>
      </c>
      <c r="J1916" s="28">
        <f>SUM(I1916:I1917)</f>
        <v>26.626125000000002</v>
      </c>
      <c r="K1916" s="29"/>
      <c r="L1916" s="174">
        <v>0</v>
      </c>
    </row>
    <row r="1917" spans="1:12" ht="15.75" hidden="1" thickBot="1" x14ac:dyDescent="0.3">
      <c r="A1917" s="181"/>
      <c r="B1917" s="179"/>
      <c r="C1917" s="25" t="s">
        <v>266</v>
      </c>
      <c r="D1917" s="36" t="s">
        <v>21</v>
      </c>
      <c r="E1917" s="26">
        <v>0.75</v>
      </c>
      <c r="F1917" s="27" t="s">
        <v>17</v>
      </c>
      <c r="G1917" s="19">
        <v>16.159500000000001</v>
      </c>
      <c r="H1917" s="27" t="s">
        <v>268</v>
      </c>
      <c r="I1917" s="23">
        <f>IF(ISNUMBER(G1917),E1917*G1917,"")</f>
        <v>12.119625000000001</v>
      </c>
      <c r="J1917" s="24"/>
      <c r="K1917" s="19"/>
      <c r="L1917" s="174">
        <v>0</v>
      </c>
    </row>
    <row r="1918" spans="1:12" ht="15.75" hidden="1" thickBot="1" x14ac:dyDescent="0.3">
      <c r="A1918" s="182"/>
      <c r="B1918" s="183"/>
      <c r="C1918" s="25"/>
      <c r="D1918" s="25"/>
      <c r="E1918" s="26"/>
      <c r="F1918" s="27"/>
      <c r="G1918" s="19" t="s">
        <v>1079</v>
      </c>
      <c r="H1918" s="27"/>
      <c r="I1918" s="19" t="str">
        <f>IF(ISNUMBER(G1918),E1918*G1918,"")</f>
        <v/>
      </c>
      <c r="J1918" s="24"/>
      <c r="K1918" s="19"/>
      <c r="L1918" s="174">
        <v>0</v>
      </c>
    </row>
    <row r="1919" spans="1:12" ht="15.75" hidden="1" thickBot="1" x14ac:dyDescent="0.3">
      <c r="A1919" s="180" t="s">
        <v>1210</v>
      </c>
      <c r="B1919" s="178" t="str">
        <f>INDEX(Orçamentária!A:B,MATCH(Composições!A1919,Orçamentária!A:A,0),2)</f>
        <v>Bomba para condensado de ar-condicionado para instalação oculta</v>
      </c>
      <c r="C1919" s="30"/>
      <c r="D1919" s="13" t="str">
        <f>TRIM(INDEX(Orçamentária!C:C,MATCH(Composições!A1919,Orçamentária!A:A,0),1))</f>
        <v>un</v>
      </c>
      <c r="E1919" s="14"/>
      <c r="F1919" s="15" t="s">
        <v>1211</v>
      </c>
      <c r="G1919" s="31" t="s">
        <v>1079</v>
      </c>
      <c r="H1919" s="16"/>
      <c r="I1919" s="16" t="str">
        <f>IF(ISNUMBER(G1919),E1919*G1919,"")</f>
        <v/>
      </c>
      <c r="J1919" s="17"/>
      <c r="K1919" s="18"/>
      <c r="L1919" s="174">
        <v>0</v>
      </c>
    </row>
    <row r="1920" spans="1:12" ht="15.75" hidden="1" thickBot="1" x14ac:dyDescent="0.3">
      <c r="A1920" s="181"/>
      <c r="B1920" s="179"/>
      <c r="C1920" s="20"/>
      <c r="D1920" s="20"/>
      <c r="E1920" s="21"/>
      <c r="F1920" s="22"/>
      <c r="G1920" s="32" t="s">
        <v>1079</v>
      </c>
      <c r="H1920" s="20"/>
      <c r="I1920" s="19" t="str">
        <f>IF(ISNUMBER(G1920),E1920*G1920,"")</f>
        <v/>
      </c>
      <c r="J1920" s="24"/>
      <c r="K1920" s="19"/>
      <c r="L1920" s="174">
        <v>0</v>
      </c>
    </row>
    <row r="1921" spans="1:12" ht="15.75" hidden="1" thickBot="1" x14ac:dyDescent="0.3">
      <c r="A1921" s="181"/>
      <c r="B1921" s="179"/>
      <c r="C1921" s="25" t="s">
        <v>144</v>
      </c>
      <c r="D1921" s="25" t="s">
        <v>21</v>
      </c>
      <c r="E1921" s="26">
        <v>1</v>
      </c>
      <c r="F1921" s="27" t="s">
        <v>1212</v>
      </c>
      <c r="G1921" s="19">
        <v>15.218999999999999</v>
      </c>
      <c r="H1921" s="27" t="s">
        <v>145</v>
      </c>
      <c r="I1921" s="23">
        <f>IF(ISNUMBER(G1921),E1921*G1921,"")</f>
        <v>15.218999999999999</v>
      </c>
      <c r="J1921" s="28">
        <f>SUM(I1921:I1923)</f>
        <v>34.532499999999999</v>
      </c>
      <c r="K1921" s="29"/>
      <c r="L1921" s="174">
        <v>0</v>
      </c>
    </row>
    <row r="1922" spans="1:12" ht="15.75" hidden="1" thickBot="1" x14ac:dyDescent="0.3">
      <c r="A1922" s="181"/>
      <c r="B1922" s="179"/>
      <c r="C1922" s="25" t="s">
        <v>54</v>
      </c>
      <c r="D1922" s="25" t="s">
        <v>21</v>
      </c>
      <c r="E1922" s="26">
        <v>1</v>
      </c>
      <c r="F1922" s="27" t="s">
        <v>1212</v>
      </c>
      <c r="G1922" s="19">
        <v>19.313499999999998</v>
      </c>
      <c r="H1922" s="27" t="s">
        <v>55</v>
      </c>
      <c r="I1922" s="23">
        <f>IF(ISNUMBER(G1922),E1922*G1922,"")</f>
        <v>19.313499999999998</v>
      </c>
      <c r="J1922" s="24"/>
      <c r="K1922" s="19"/>
      <c r="L1922" s="174">
        <v>0</v>
      </c>
    </row>
    <row r="1923" spans="1:12" ht="26.25" hidden="1" thickBot="1" x14ac:dyDescent="0.3">
      <c r="A1923" s="181"/>
      <c r="B1923" s="179"/>
      <c r="C1923" s="25" t="s">
        <v>1213</v>
      </c>
      <c r="D1923" s="25" t="s">
        <v>32</v>
      </c>
      <c r="E1923" s="26">
        <v>1</v>
      </c>
      <c r="F1923" s="27" t="s">
        <v>1212</v>
      </c>
      <c r="G1923" s="23" t="s">
        <v>1079</v>
      </c>
      <c r="H1923" s="27" t="s">
        <v>33</v>
      </c>
      <c r="I1923" s="19" t="str">
        <f>IF(ISNUMBER(G1923),E1923*G1923,"")</f>
        <v/>
      </c>
      <c r="J1923" s="24"/>
      <c r="K1923" s="19"/>
      <c r="L1923" s="174">
        <v>0</v>
      </c>
    </row>
    <row r="1924" spans="1:12" ht="15.75" hidden="1" thickBot="1" x14ac:dyDescent="0.3">
      <c r="A1924" s="182"/>
      <c r="B1924" s="183"/>
      <c r="C1924" s="25"/>
      <c r="D1924" s="25"/>
      <c r="E1924" s="26"/>
      <c r="F1924" s="27"/>
      <c r="G1924" s="19" t="s">
        <v>1079</v>
      </c>
      <c r="H1924" s="27"/>
      <c r="I1924" s="19" t="str">
        <f>IF(ISNUMBER(G1924),E1924*G1924,"")</f>
        <v/>
      </c>
      <c r="J1924" s="24"/>
      <c r="K1924" s="19"/>
      <c r="L1924" s="174">
        <v>0</v>
      </c>
    </row>
    <row r="1925" spans="1:12" ht="15.75" hidden="1" thickBot="1" x14ac:dyDescent="0.3">
      <c r="A1925" s="180" t="s">
        <v>1214</v>
      </c>
      <c r="B1925" s="178" t="str">
        <f>INDEX(Orçamentária!A:B,MATCH(Composições!A1925,Orçamentária!A:A,0),2)</f>
        <v>Fita aluminizada para refrigeração 48 mm</v>
      </c>
      <c r="C1925" s="30"/>
      <c r="D1925" s="13" t="str">
        <f>TRIM(INDEX(Orçamentária!C:C,MATCH(Composições!A1925,Orçamentária!A:A,0),1))</f>
        <v>m</v>
      </c>
      <c r="E1925" s="14"/>
      <c r="F1925" s="15" t="s">
        <v>17</v>
      </c>
      <c r="G1925" s="31" t="s">
        <v>1079</v>
      </c>
      <c r="H1925" s="16"/>
      <c r="I1925" s="16" t="str">
        <f>IF(ISNUMBER(G1925),E1925*G1925,"")</f>
        <v/>
      </c>
      <c r="J1925" s="17"/>
      <c r="K1925" s="18"/>
      <c r="L1925" s="174">
        <v>0</v>
      </c>
    </row>
    <row r="1926" spans="1:12" ht="15.75" hidden="1" thickBot="1" x14ac:dyDescent="0.3">
      <c r="A1926" s="181"/>
      <c r="B1926" s="179"/>
      <c r="C1926" s="20"/>
      <c r="D1926" s="20"/>
      <c r="E1926" s="21"/>
      <c r="F1926" s="22"/>
      <c r="G1926" s="32" t="s">
        <v>1079</v>
      </c>
      <c r="H1926" s="20"/>
      <c r="I1926" s="19" t="str">
        <f>IF(ISNUMBER(G1926),E1926*G1926,"")</f>
        <v/>
      </c>
      <c r="J1926" s="24"/>
      <c r="K1926" s="19"/>
      <c r="L1926" s="174">
        <v>0</v>
      </c>
    </row>
    <row r="1927" spans="1:12" ht="15.75" hidden="1" thickBot="1" x14ac:dyDescent="0.3">
      <c r="A1927" s="181"/>
      <c r="B1927" s="179"/>
      <c r="C1927" s="25" t="s">
        <v>96</v>
      </c>
      <c r="D1927" s="36" t="s">
        <v>21</v>
      </c>
      <c r="E1927" s="26">
        <v>0.01</v>
      </c>
      <c r="F1927" s="27" t="s">
        <v>17</v>
      </c>
      <c r="G1927" s="19">
        <v>15.275999999999998</v>
      </c>
      <c r="H1927" s="27" t="s">
        <v>98</v>
      </c>
      <c r="I1927" s="19">
        <f>IF(ISNUMBER(G1927),E1927*G1927,"")</f>
        <v>0.15275999999999998</v>
      </c>
      <c r="J1927" s="28">
        <f>SUM(I1927:I1928)</f>
        <v>0.15275999999999998</v>
      </c>
      <c r="K1927" s="29"/>
      <c r="L1927" s="174">
        <v>0</v>
      </c>
    </row>
    <row r="1928" spans="1:12" ht="15.75" hidden="1" thickBot="1" x14ac:dyDescent="0.3">
      <c r="A1928" s="181"/>
      <c r="B1928" s="179"/>
      <c r="C1928" s="25" t="s">
        <v>1215</v>
      </c>
      <c r="D1928" s="36" t="s">
        <v>184</v>
      </c>
      <c r="E1928" s="26">
        <v>1</v>
      </c>
      <c r="F1928" s="27" t="s">
        <v>17</v>
      </c>
      <c r="G1928" s="19" t="s">
        <v>1079</v>
      </c>
      <c r="H1928" s="27" t="s">
        <v>33</v>
      </c>
      <c r="I1928" s="19" t="str">
        <f>IF(ISNUMBER(G1928),E1928*G1928,"")</f>
        <v/>
      </c>
      <c r="J1928" s="24"/>
      <c r="K1928" s="19"/>
      <c r="L1928" s="174">
        <v>0</v>
      </c>
    </row>
    <row r="1929" spans="1:12" ht="15.75" hidden="1" thickBot="1" x14ac:dyDescent="0.3">
      <c r="A1929" s="182"/>
      <c r="B1929" s="183"/>
      <c r="C1929" s="25"/>
      <c r="D1929" s="25"/>
      <c r="E1929" s="26"/>
      <c r="F1929" s="27"/>
      <c r="G1929" s="19" t="s">
        <v>1079</v>
      </c>
      <c r="H1929" s="27"/>
      <c r="I1929" s="19" t="str">
        <f>IF(ISNUMBER(G1929),E1929*G1929,"")</f>
        <v/>
      </c>
      <c r="J1929" s="24"/>
      <c r="K1929" s="19"/>
      <c r="L1929" s="174">
        <v>0</v>
      </c>
    </row>
    <row r="1930" spans="1:12" ht="15.75" hidden="1" thickBot="1" x14ac:dyDescent="0.3">
      <c r="A1930" s="180" t="s">
        <v>1216</v>
      </c>
      <c r="B1930" s="178" t="str">
        <f>INDEX(Orçamentária!A:B,MATCH(Composições!A1930,Orçamentária!A:A,0),2)</f>
        <v>Fita PVC 100 mm para acabamento em refrigeração</v>
      </c>
      <c r="C1930" s="30"/>
      <c r="D1930" s="13" t="str">
        <f>TRIM(INDEX(Orçamentária!C:C,MATCH(Composições!A1930,Orçamentária!A:A,0),1))</f>
        <v>m</v>
      </c>
      <c r="E1930" s="14"/>
      <c r="F1930" s="15" t="s">
        <v>17</v>
      </c>
      <c r="G1930" s="31" t="s">
        <v>1079</v>
      </c>
      <c r="H1930" s="16"/>
      <c r="I1930" s="16" t="str">
        <f>IF(ISNUMBER(G1930),E1930*G1930,"")</f>
        <v/>
      </c>
      <c r="J1930" s="17"/>
      <c r="K1930" s="18"/>
      <c r="L1930" s="174">
        <v>0</v>
      </c>
    </row>
    <row r="1931" spans="1:12" ht="15.75" hidden="1" thickBot="1" x14ac:dyDescent="0.3">
      <c r="A1931" s="181"/>
      <c r="B1931" s="179"/>
      <c r="C1931" s="20"/>
      <c r="D1931" s="20"/>
      <c r="E1931" s="21"/>
      <c r="F1931" s="22"/>
      <c r="G1931" s="32" t="s">
        <v>1079</v>
      </c>
      <c r="H1931" s="20"/>
      <c r="I1931" s="19" t="str">
        <f>IF(ISNUMBER(G1931),E1931*G1931,"")</f>
        <v/>
      </c>
      <c r="J1931" s="24"/>
      <c r="K1931" s="19"/>
      <c r="L1931" s="174">
        <v>0</v>
      </c>
    </row>
    <row r="1932" spans="1:12" ht="15.75" hidden="1" thickBot="1" x14ac:dyDescent="0.3">
      <c r="A1932" s="181"/>
      <c r="B1932" s="179"/>
      <c r="C1932" s="25" t="s">
        <v>96</v>
      </c>
      <c r="D1932" s="36" t="s">
        <v>21</v>
      </c>
      <c r="E1932" s="26">
        <v>0.01</v>
      </c>
      <c r="F1932" s="27" t="s">
        <v>17</v>
      </c>
      <c r="G1932" s="19">
        <v>15.275999999999998</v>
      </c>
      <c r="H1932" s="27" t="s">
        <v>98</v>
      </c>
      <c r="I1932" s="19">
        <f>IF(ISNUMBER(G1932),E1932*G1932,"")</f>
        <v>0.15275999999999998</v>
      </c>
      <c r="J1932" s="28">
        <f>SUM(I1932:I1933)</f>
        <v>0.15275999999999998</v>
      </c>
      <c r="K1932" s="29"/>
      <c r="L1932" s="174">
        <v>0</v>
      </c>
    </row>
    <row r="1933" spans="1:12" ht="15.75" hidden="1" thickBot="1" x14ac:dyDescent="0.3">
      <c r="A1933" s="181"/>
      <c r="B1933" s="179"/>
      <c r="C1933" s="25" t="s">
        <v>1217</v>
      </c>
      <c r="D1933" s="36" t="s">
        <v>184</v>
      </c>
      <c r="E1933" s="26">
        <v>1</v>
      </c>
      <c r="F1933" s="27" t="s">
        <v>17</v>
      </c>
      <c r="G1933" s="19" t="s">
        <v>1079</v>
      </c>
      <c r="H1933" s="27" t="s">
        <v>33</v>
      </c>
      <c r="I1933" s="19" t="str">
        <f>IF(ISNUMBER(G1933),E1933*G1933,"")</f>
        <v/>
      </c>
      <c r="J1933" s="24"/>
      <c r="K1933" s="19"/>
      <c r="L1933" s="174">
        <v>0</v>
      </c>
    </row>
    <row r="1934" spans="1:12" ht="15.75" hidden="1" thickBot="1" x14ac:dyDescent="0.3">
      <c r="A1934" s="182"/>
      <c r="B1934" s="183"/>
      <c r="C1934" s="25"/>
      <c r="D1934" s="25"/>
      <c r="E1934" s="26"/>
      <c r="F1934" s="27"/>
      <c r="G1934" s="19" t="s">
        <v>1079</v>
      </c>
      <c r="H1934" s="27"/>
      <c r="I1934" s="19" t="str">
        <f>IF(ISNUMBER(G1934),E1934*G1934,"")</f>
        <v/>
      </c>
      <c r="J1934" s="24"/>
      <c r="K1934" s="19"/>
      <c r="L1934" s="174">
        <v>0</v>
      </c>
    </row>
    <row r="1935" spans="1:12" ht="15.75" hidden="1" thickBot="1" x14ac:dyDescent="0.3">
      <c r="A1935" s="180" t="s">
        <v>1218</v>
      </c>
      <c r="B1935" s="178" t="str">
        <f>INDEX(Orçamentária!A:B,MATCH(Composições!A1935,Orçamentária!A:A,0),2)</f>
        <v>Mangueira emborrachada 3/4" para água gelada</v>
      </c>
      <c r="C1935" s="30"/>
      <c r="D1935" s="13" t="str">
        <f>TRIM(INDEX(Orçamentária!C:C,MATCH(Composições!A1935,Orçamentária!A:A,0),1))</f>
        <v>m</v>
      </c>
      <c r="E1935" s="14"/>
      <c r="F1935" s="15" t="s">
        <v>17</v>
      </c>
      <c r="G1935" s="31" t="s">
        <v>1079</v>
      </c>
      <c r="H1935" s="16"/>
      <c r="I1935" s="16" t="str">
        <f>IF(ISNUMBER(G1935),E1935*G1935,"")</f>
        <v/>
      </c>
      <c r="J1935" s="17"/>
      <c r="K1935" s="18"/>
      <c r="L1935" s="174">
        <v>0</v>
      </c>
    </row>
    <row r="1936" spans="1:12" ht="15.75" hidden="1" thickBot="1" x14ac:dyDescent="0.3">
      <c r="A1936" s="181"/>
      <c r="B1936" s="179"/>
      <c r="C1936" s="20"/>
      <c r="D1936" s="20"/>
      <c r="E1936" s="21"/>
      <c r="F1936" s="22"/>
      <c r="G1936" s="32" t="s">
        <v>1079</v>
      </c>
      <c r="H1936" s="20"/>
      <c r="I1936" s="19" t="str">
        <f>IF(ISNUMBER(G1936),E1936*G1936,"")</f>
        <v/>
      </c>
      <c r="J1936" s="24"/>
      <c r="K1936" s="19"/>
      <c r="L1936" s="174">
        <v>0</v>
      </c>
    </row>
    <row r="1937" spans="1:12" ht="15.75" hidden="1" thickBot="1" x14ac:dyDescent="0.3">
      <c r="A1937" s="181"/>
      <c r="B1937" s="179"/>
      <c r="C1937" s="25" t="s">
        <v>96</v>
      </c>
      <c r="D1937" s="36" t="s">
        <v>21</v>
      </c>
      <c r="E1937" s="26">
        <v>0.05</v>
      </c>
      <c r="F1937" s="27" t="s">
        <v>17</v>
      </c>
      <c r="G1937" s="19">
        <v>15.275999999999998</v>
      </c>
      <c r="H1937" s="27" t="s">
        <v>98</v>
      </c>
      <c r="I1937" s="19">
        <f>IF(ISNUMBER(G1937),E1937*G1937,"")</f>
        <v>0.76379999999999992</v>
      </c>
      <c r="J1937" s="28">
        <f>SUM(I1937:I1938)</f>
        <v>0.76379999999999992</v>
      </c>
      <c r="K1937" s="29"/>
      <c r="L1937" s="174">
        <v>0</v>
      </c>
    </row>
    <row r="1938" spans="1:12" ht="15.75" hidden="1" thickBot="1" x14ac:dyDescent="0.3">
      <c r="A1938" s="181"/>
      <c r="B1938" s="179"/>
      <c r="C1938" s="25" t="s">
        <v>1219</v>
      </c>
      <c r="D1938" s="36" t="s">
        <v>184</v>
      </c>
      <c r="E1938" s="26">
        <v>1</v>
      </c>
      <c r="F1938" s="27" t="s">
        <v>17</v>
      </c>
      <c r="G1938" s="19" t="s">
        <v>1079</v>
      </c>
      <c r="H1938" s="27" t="s">
        <v>33</v>
      </c>
      <c r="I1938" s="19" t="str">
        <f>IF(ISNUMBER(G1938),E1938*G1938,"")</f>
        <v/>
      </c>
      <c r="J1938" s="24"/>
      <c r="K1938" s="19"/>
      <c r="L1938" s="174">
        <v>0</v>
      </c>
    </row>
    <row r="1939" spans="1:12" ht="15.75" hidden="1" thickBot="1" x14ac:dyDescent="0.3">
      <c r="A1939" s="182"/>
      <c r="B1939" s="183"/>
      <c r="C1939" s="25"/>
      <c r="D1939" s="25"/>
      <c r="E1939" s="26"/>
      <c r="F1939" s="27"/>
      <c r="G1939" s="19" t="s">
        <v>1079</v>
      </c>
      <c r="H1939" s="27"/>
      <c r="I1939" s="19" t="str">
        <f>IF(ISNUMBER(G1939),E1939*G1939,"")</f>
        <v/>
      </c>
      <c r="J1939" s="24"/>
      <c r="K1939" s="19"/>
      <c r="L1939" s="174">
        <v>0</v>
      </c>
    </row>
    <row r="1940" spans="1:12" ht="15.75" hidden="1" thickBot="1" x14ac:dyDescent="0.3">
      <c r="A1940" s="180" t="s">
        <v>1220</v>
      </c>
      <c r="B1940" s="178" t="str">
        <f>INDEX(Orçamentária!A:B,MATCH(Composições!A1940,Orçamentária!A:A,0),2)</f>
        <v>Suporte para unidade condensadora de aparelho split</v>
      </c>
      <c r="C1940" s="30"/>
      <c r="D1940" s="13" t="str">
        <f>TRIM(INDEX(Orçamentária!C:C,MATCH(Composições!A1940,Orçamentária!A:A,0),1))</f>
        <v>un</v>
      </c>
      <c r="E1940" s="14"/>
      <c r="F1940" s="15" t="s">
        <v>1221</v>
      </c>
      <c r="G1940" s="31" t="s">
        <v>1079</v>
      </c>
      <c r="H1940" s="16"/>
      <c r="I1940" s="16" t="str">
        <f>IF(ISNUMBER(G1940),E1940*G1940,"")</f>
        <v/>
      </c>
      <c r="J1940" s="17"/>
      <c r="K1940" s="18"/>
      <c r="L1940" s="174">
        <v>0</v>
      </c>
    </row>
    <row r="1941" spans="1:12" ht="15.75" hidden="1" thickBot="1" x14ac:dyDescent="0.3">
      <c r="A1941" s="181"/>
      <c r="B1941" s="179"/>
      <c r="C1941" s="20"/>
      <c r="D1941" s="20"/>
      <c r="E1941" s="21"/>
      <c r="F1941" s="22"/>
      <c r="G1941" s="32" t="s">
        <v>1079</v>
      </c>
      <c r="H1941" s="20"/>
      <c r="I1941" s="19" t="str">
        <f>IF(ISNUMBER(G1941),E1941*G1941,"")</f>
        <v/>
      </c>
      <c r="J1941" s="24"/>
      <c r="K1941" s="19"/>
      <c r="L1941" s="174">
        <v>0</v>
      </c>
    </row>
    <row r="1942" spans="1:12" ht="15.75" hidden="1" thickBot="1" x14ac:dyDescent="0.3">
      <c r="A1942" s="181"/>
      <c r="B1942" s="179"/>
      <c r="C1942" s="25" t="s">
        <v>1222</v>
      </c>
      <c r="D1942" s="36" t="s">
        <v>21</v>
      </c>
      <c r="E1942" s="26">
        <v>0.85099999999999998</v>
      </c>
      <c r="F1942" s="27" t="s">
        <v>1223</v>
      </c>
      <c r="G1942" s="19">
        <v>19.056999999999999</v>
      </c>
      <c r="H1942" s="27" t="s">
        <v>1224</v>
      </c>
      <c r="I1942" s="23">
        <f>IF(ISNUMBER(G1942),E1942*G1942,"")</f>
        <v>16.217506999999998</v>
      </c>
      <c r="J1942" s="28">
        <f>SUM(I1942:I1944)</f>
        <v>29.516509499999998</v>
      </c>
      <c r="K1942" s="29"/>
      <c r="L1942" s="174">
        <v>0</v>
      </c>
    </row>
    <row r="1943" spans="1:12" ht="15.75" hidden="1" thickBot="1" x14ac:dyDescent="0.3">
      <c r="A1943" s="181"/>
      <c r="B1943" s="179"/>
      <c r="C1943" s="25" t="s">
        <v>1225</v>
      </c>
      <c r="D1943" s="36" t="s">
        <v>21</v>
      </c>
      <c r="E1943" s="26">
        <v>0.85099999999999998</v>
      </c>
      <c r="F1943" s="27" t="s">
        <v>1223</v>
      </c>
      <c r="G1943" s="19">
        <v>15.627499999999998</v>
      </c>
      <c r="H1943" s="27" t="s">
        <v>1226</v>
      </c>
      <c r="I1943" s="23">
        <f>IF(ISNUMBER(G1943),E1943*G1943,"")</f>
        <v>13.299002499999999</v>
      </c>
      <c r="J1943" s="24"/>
      <c r="K1943" s="19"/>
      <c r="L1943" s="174">
        <v>0</v>
      </c>
    </row>
    <row r="1944" spans="1:12" ht="15.75" hidden="1" thickBot="1" x14ac:dyDescent="0.3">
      <c r="A1944" s="181"/>
      <c r="B1944" s="179"/>
      <c r="C1944" s="25" t="s">
        <v>1227</v>
      </c>
      <c r="D1944" s="25" t="s">
        <v>305</v>
      </c>
      <c r="E1944" s="26">
        <v>1</v>
      </c>
      <c r="F1944" s="27" t="s">
        <v>17</v>
      </c>
      <c r="G1944" s="23" t="s">
        <v>1079</v>
      </c>
      <c r="H1944" s="27" t="s">
        <v>33</v>
      </c>
      <c r="I1944" s="23" t="str">
        <f>IF(ISNUMBER(G1944),E1944*G1944,"")</f>
        <v/>
      </c>
      <c r="J1944" s="24"/>
      <c r="K1944" s="19"/>
      <c r="L1944" s="174">
        <v>0</v>
      </c>
    </row>
    <row r="1945" spans="1:12" ht="15.75" hidden="1" thickBot="1" x14ac:dyDescent="0.3">
      <c r="A1945" s="182"/>
      <c r="B1945" s="183"/>
      <c r="C1945" s="25"/>
      <c r="D1945" s="25"/>
      <c r="E1945" s="26"/>
      <c r="F1945" s="27"/>
      <c r="G1945" s="19" t="s">
        <v>1079</v>
      </c>
      <c r="H1945" s="27"/>
      <c r="I1945" s="19" t="str">
        <f>IF(ISNUMBER(G1945),E1945*G1945,"")</f>
        <v/>
      </c>
      <c r="J1945" s="24"/>
      <c r="K1945" s="19"/>
      <c r="L1945" s="174">
        <v>0</v>
      </c>
    </row>
    <row r="1946" spans="1:12" ht="15.75" hidden="1" thickBot="1" x14ac:dyDescent="0.3">
      <c r="A1946" s="180" t="s">
        <v>1228</v>
      </c>
      <c r="B1946" s="178" t="str">
        <f>INDEX(Orçamentária!A:B,MATCH(Composições!A1946,Orçamentária!A:A,0),2)</f>
        <v>Suporte para unidade evaporadora de aparelho split ou fancolete</v>
      </c>
      <c r="C1946" s="30"/>
      <c r="D1946" s="13" t="str">
        <f>TRIM(INDEX(Orçamentária!C:C,MATCH(Composições!A1946,Orçamentária!A:A,0),1))</f>
        <v>un</v>
      </c>
      <c r="E1946" s="14"/>
      <c r="F1946" s="15" t="s">
        <v>1221</v>
      </c>
      <c r="G1946" s="31" t="s">
        <v>1079</v>
      </c>
      <c r="H1946" s="16"/>
      <c r="I1946" s="16" t="str">
        <f>IF(ISNUMBER(G1946),E1946*G1946,"")</f>
        <v/>
      </c>
      <c r="J1946" s="17"/>
      <c r="K1946" s="18"/>
      <c r="L1946" s="174">
        <v>0</v>
      </c>
    </row>
    <row r="1947" spans="1:12" ht="15.75" hidden="1" thickBot="1" x14ac:dyDescent="0.3">
      <c r="A1947" s="181"/>
      <c r="B1947" s="179"/>
      <c r="C1947" s="20"/>
      <c r="D1947" s="20"/>
      <c r="E1947" s="21"/>
      <c r="F1947" s="22"/>
      <c r="G1947" s="32" t="s">
        <v>1079</v>
      </c>
      <c r="H1947" s="20"/>
      <c r="I1947" s="19" t="str">
        <f>IF(ISNUMBER(G1947),E1947*G1947,"")</f>
        <v/>
      </c>
      <c r="J1947" s="24"/>
      <c r="K1947" s="19"/>
      <c r="L1947" s="174">
        <v>0</v>
      </c>
    </row>
    <row r="1948" spans="1:12" ht="15.75" hidden="1" thickBot="1" x14ac:dyDescent="0.3">
      <c r="A1948" s="181"/>
      <c r="B1948" s="179"/>
      <c r="C1948" s="25" t="s">
        <v>1222</v>
      </c>
      <c r="D1948" s="36" t="s">
        <v>21</v>
      </c>
      <c r="E1948" s="26">
        <v>0.85099999999999998</v>
      </c>
      <c r="F1948" s="27" t="s">
        <v>1223</v>
      </c>
      <c r="G1948" s="19">
        <v>19.056999999999999</v>
      </c>
      <c r="H1948" s="27" t="s">
        <v>1224</v>
      </c>
      <c r="I1948" s="23">
        <f>IF(ISNUMBER(G1948),E1948*G1948,"")</f>
        <v>16.217506999999998</v>
      </c>
      <c r="J1948" s="28">
        <f>SUM(I1948:I1950)</f>
        <v>29.516509499999998</v>
      </c>
      <c r="K1948" s="29"/>
      <c r="L1948" s="174">
        <v>0</v>
      </c>
    </row>
    <row r="1949" spans="1:12" ht="15.75" hidden="1" thickBot="1" x14ac:dyDescent="0.3">
      <c r="A1949" s="181"/>
      <c r="B1949" s="179"/>
      <c r="C1949" s="25" t="s">
        <v>1225</v>
      </c>
      <c r="D1949" s="36" t="s">
        <v>21</v>
      </c>
      <c r="E1949" s="26">
        <v>0.85099999999999998</v>
      </c>
      <c r="F1949" s="27" t="s">
        <v>1223</v>
      </c>
      <c r="G1949" s="19">
        <v>15.627499999999998</v>
      </c>
      <c r="H1949" s="27" t="s">
        <v>1226</v>
      </c>
      <c r="I1949" s="23">
        <f>IF(ISNUMBER(G1949),E1949*G1949,"")</f>
        <v>13.299002499999999</v>
      </c>
      <c r="J1949" s="24"/>
      <c r="K1949" s="19"/>
      <c r="L1949" s="174">
        <v>0</v>
      </c>
    </row>
    <row r="1950" spans="1:12" ht="15.75" hidden="1" thickBot="1" x14ac:dyDescent="0.3">
      <c r="A1950" s="181"/>
      <c r="B1950" s="179"/>
      <c r="C1950" s="25" t="s">
        <v>1229</v>
      </c>
      <c r="D1950" s="25" t="s">
        <v>305</v>
      </c>
      <c r="E1950" s="26">
        <v>1</v>
      </c>
      <c r="F1950" s="27" t="s">
        <v>17</v>
      </c>
      <c r="G1950" s="23" t="s">
        <v>1079</v>
      </c>
      <c r="H1950" s="27" t="s">
        <v>33</v>
      </c>
      <c r="I1950" s="23" t="str">
        <f>IF(ISNUMBER(G1950),E1950*G1950,"")</f>
        <v/>
      </c>
      <c r="J1950" s="24"/>
      <c r="K1950" s="19"/>
      <c r="L1950" s="174">
        <v>0</v>
      </c>
    </row>
    <row r="1951" spans="1:12" ht="15.75" hidden="1" thickBot="1" x14ac:dyDescent="0.3">
      <c r="A1951" s="182"/>
      <c r="B1951" s="183"/>
      <c r="C1951" s="25"/>
      <c r="D1951" s="25"/>
      <c r="E1951" s="26"/>
      <c r="F1951" s="27"/>
      <c r="G1951" s="19" t="s">
        <v>1079</v>
      </c>
      <c r="H1951" s="27"/>
      <c r="I1951" s="19" t="str">
        <f>IF(ISNUMBER(G1951),E1951*G1951,"")</f>
        <v/>
      </c>
      <c r="J1951" s="24"/>
      <c r="K1951" s="19"/>
      <c r="L1951" s="174">
        <v>0</v>
      </c>
    </row>
    <row r="1952" spans="1:12" ht="15.75" hidden="1" thickBot="1" x14ac:dyDescent="0.3">
      <c r="A1952" s="180" t="s">
        <v>1230</v>
      </c>
      <c r="B1952" s="178" t="str">
        <f>INDEX(Orçamentária!A:B,MATCH(Composições!A1952,Orçamentária!A:A,0),2)</f>
        <v>Filtro em Y 1"</v>
      </c>
      <c r="C1952" s="30"/>
      <c r="D1952" s="13" t="str">
        <f>TRIM(INDEX(Orçamentária!C:C,MATCH(Composições!A1952,Orçamentária!A:A,0),1))</f>
        <v>un</v>
      </c>
      <c r="E1952" s="14"/>
      <c r="F1952" s="15" t="s">
        <v>1231</v>
      </c>
      <c r="G1952" s="31" t="s">
        <v>1079</v>
      </c>
      <c r="H1952" s="16"/>
      <c r="I1952" s="16" t="str">
        <f>IF(ISNUMBER(G1952),E1952*G1952,"")</f>
        <v/>
      </c>
      <c r="J1952" s="17"/>
      <c r="K1952" s="18"/>
      <c r="L1952" s="174">
        <v>0</v>
      </c>
    </row>
    <row r="1953" spans="1:12" ht="15.75" hidden="1" thickBot="1" x14ac:dyDescent="0.3">
      <c r="A1953" s="181"/>
      <c r="B1953" s="179"/>
      <c r="C1953" s="20"/>
      <c r="D1953" s="20"/>
      <c r="E1953" s="21"/>
      <c r="F1953" s="22"/>
      <c r="G1953" s="32" t="s">
        <v>1079</v>
      </c>
      <c r="H1953" s="20"/>
      <c r="I1953" s="19" t="str">
        <f>IF(ISNUMBER(G1953),E1953*G1953,"")</f>
        <v/>
      </c>
      <c r="J1953" s="24"/>
      <c r="K1953" s="19"/>
      <c r="L1953" s="174">
        <v>0</v>
      </c>
    </row>
    <row r="1954" spans="1:12" ht="26.25" hidden="1" thickBot="1" x14ac:dyDescent="0.3">
      <c r="A1954" s="181"/>
      <c r="B1954" s="179"/>
      <c r="C1954" s="25" t="s">
        <v>224</v>
      </c>
      <c r="D1954" s="36" t="s">
        <v>21</v>
      </c>
      <c r="E1954" s="26">
        <v>0.77449999999999997</v>
      </c>
      <c r="F1954" s="27" t="s">
        <v>1232</v>
      </c>
      <c r="G1954" s="19">
        <v>14.772500000000001</v>
      </c>
      <c r="H1954" s="27" t="s">
        <v>226</v>
      </c>
      <c r="I1954" s="19">
        <f>IF(ISNUMBER(G1954),E1954*G1954,"")</f>
        <v>11.44130125</v>
      </c>
      <c r="J1954" s="28">
        <f>SUM(I1954:I1957)</f>
        <v>26.059583000000003</v>
      </c>
      <c r="K1954" s="29"/>
      <c r="L1954" s="174">
        <v>0</v>
      </c>
    </row>
    <row r="1955" spans="1:12" ht="15.75" hidden="1" thickBot="1" x14ac:dyDescent="0.3">
      <c r="A1955" s="181"/>
      <c r="B1955" s="179"/>
      <c r="C1955" s="25" t="s">
        <v>70</v>
      </c>
      <c r="D1955" s="36" t="s">
        <v>21</v>
      </c>
      <c r="E1955" s="26">
        <v>0.77449999999999997</v>
      </c>
      <c r="F1955" s="27" t="s">
        <v>1232</v>
      </c>
      <c r="G1955" s="19">
        <v>18.743500000000001</v>
      </c>
      <c r="H1955" s="27" t="s">
        <v>71</v>
      </c>
      <c r="I1955" s="19">
        <f>IF(ISNUMBER(G1955),E1955*G1955,"")</f>
        <v>14.51684075</v>
      </c>
      <c r="J1955" s="24"/>
      <c r="K1955" s="19"/>
      <c r="L1955" s="174">
        <v>0</v>
      </c>
    </row>
    <row r="1956" spans="1:12" ht="39" hidden="1" thickBot="1" x14ac:dyDescent="0.3">
      <c r="A1956" s="181"/>
      <c r="B1956" s="179"/>
      <c r="C1956" s="25" t="s">
        <v>1233</v>
      </c>
      <c r="D1956" s="25" t="s">
        <v>305</v>
      </c>
      <c r="E1956" s="26">
        <v>1</v>
      </c>
      <c r="F1956" s="27" t="s">
        <v>1234</v>
      </c>
      <c r="G1956" s="23" t="s">
        <v>1079</v>
      </c>
      <c r="H1956" s="27" t="s">
        <v>33</v>
      </c>
      <c r="I1956" s="19" t="str">
        <f>IF(ISNUMBER(G1956),E1956*G1956,"")</f>
        <v/>
      </c>
      <c r="J1956" s="24"/>
      <c r="K1956" s="19"/>
      <c r="L1956" s="174">
        <v>0</v>
      </c>
    </row>
    <row r="1957" spans="1:12" ht="15.75" hidden="1" thickBot="1" x14ac:dyDescent="0.3">
      <c r="A1957" s="181"/>
      <c r="B1957" s="179"/>
      <c r="C1957" s="25" t="s">
        <v>819</v>
      </c>
      <c r="D1957" s="36" t="s">
        <v>588</v>
      </c>
      <c r="E1957" s="26">
        <v>9.4999999999999998E-3</v>
      </c>
      <c r="F1957" s="27" t="s">
        <v>1232</v>
      </c>
      <c r="G1957" s="23">
        <v>10.677999999999999</v>
      </c>
      <c r="H1957" s="27" t="s">
        <v>690</v>
      </c>
      <c r="I1957" s="19">
        <f>IF(ISNUMBER(G1957),E1957*G1957,"")</f>
        <v>0.10144099999999999</v>
      </c>
      <c r="J1957" s="24"/>
      <c r="K1957" s="19"/>
      <c r="L1957" s="174">
        <v>0</v>
      </c>
    </row>
    <row r="1958" spans="1:12" ht="15.75" hidden="1" thickBot="1" x14ac:dyDescent="0.3">
      <c r="A1958" s="182"/>
      <c r="B1958" s="183"/>
      <c r="C1958" s="25"/>
      <c r="D1958" s="25"/>
      <c r="E1958" s="26"/>
      <c r="F1958" s="27"/>
      <c r="G1958" s="19" t="s">
        <v>1079</v>
      </c>
      <c r="H1958" s="27"/>
      <c r="I1958" s="19" t="str">
        <f>IF(ISNUMBER(G1958),E1958*G1958,"")</f>
        <v/>
      </c>
      <c r="J1958" s="24"/>
      <c r="K1958" s="19"/>
      <c r="L1958" s="174">
        <v>0</v>
      </c>
    </row>
    <row r="1959" spans="1:12" ht="15.75" hidden="1" thickBot="1" x14ac:dyDescent="0.3">
      <c r="A1959" s="180" t="s">
        <v>1235</v>
      </c>
      <c r="B1959" s="178" t="str">
        <f>INDEX(Orçamentária!A:B,MATCH(Composições!A1959,Orçamentária!A:A,0),2)</f>
        <v>Filtro em Y 3/4"</v>
      </c>
      <c r="C1959" s="30"/>
      <c r="D1959" s="13" t="str">
        <f>TRIM(INDEX(Orçamentária!C:C,MATCH(Composições!A1959,Orçamentária!A:A,0),1))</f>
        <v>un</v>
      </c>
      <c r="E1959" s="14"/>
      <c r="F1959" s="15" t="s">
        <v>1236</v>
      </c>
      <c r="G1959" s="31" t="s">
        <v>1079</v>
      </c>
      <c r="H1959" s="16"/>
      <c r="I1959" s="16" t="str">
        <f>IF(ISNUMBER(G1959),E1959*G1959,"")</f>
        <v/>
      </c>
      <c r="J1959" s="17"/>
      <c r="K1959" s="18"/>
      <c r="L1959" s="174">
        <v>0</v>
      </c>
    </row>
    <row r="1960" spans="1:12" ht="15.75" hidden="1" thickBot="1" x14ac:dyDescent="0.3">
      <c r="A1960" s="181"/>
      <c r="B1960" s="179"/>
      <c r="C1960" s="20"/>
      <c r="D1960" s="20"/>
      <c r="E1960" s="21"/>
      <c r="F1960" s="22"/>
      <c r="G1960" s="32" t="s">
        <v>1079</v>
      </c>
      <c r="H1960" s="20"/>
      <c r="I1960" s="19" t="str">
        <f>IF(ISNUMBER(G1960),E1960*G1960,"")</f>
        <v/>
      </c>
      <c r="J1960" s="24"/>
      <c r="K1960" s="19"/>
      <c r="L1960" s="174">
        <v>0</v>
      </c>
    </row>
    <row r="1961" spans="1:12" ht="26.25" hidden="1" thickBot="1" x14ac:dyDescent="0.3">
      <c r="A1961" s="181"/>
      <c r="B1961" s="179"/>
      <c r="C1961" s="25" t="s">
        <v>224</v>
      </c>
      <c r="D1961" s="36" t="s">
        <v>21</v>
      </c>
      <c r="E1961" s="26">
        <v>0.77449999999999997</v>
      </c>
      <c r="F1961" s="27" t="s">
        <v>1234</v>
      </c>
      <c r="G1961" s="19">
        <v>14.772500000000001</v>
      </c>
      <c r="H1961" s="27" t="s">
        <v>226</v>
      </c>
      <c r="I1961" s="19">
        <f>IF(ISNUMBER(G1961),E1961*G1961,"")</f>
        <v>11.44130125</v>
      </c>
      <c r="J1961" s="28">
        <f>SUM(I1961:I1964)</f>
        <v>26.059583000000003</v>
      </c>
      <c r="K1961" s="29"/>
      <c r="L1961" s="174">
        <v>0</v>
      </c>
    </row>
    <row r="1962" spans="1:12" ht="15.75" hidden="1" thickBot="1" x14ac:dyDescent="0.3">
      <c r="A1962" s="181"/>
      <c r="B1962" s="179"/>
      <c r="C1962" s="25" t="s">
        <v>70</v>
      </c>
      <c r="D1962" s="36" t="s">
        <v>21</v>
      </c>
      <c r="E1962" s="26">
        <v>0.77449999999999997</v>
      </c>
      <c r="F1962" s="27" t="s">
        <v>1234</v>
      </c>
      <c r="G1962" s="19">
        <v>18.743500000000001</v>
      </c>
      <c r="H1962" s="27" t="s">
        <v>71</v>
      </c>
      <c r="I1962" s="19">
        <f>IF(ISNUMBER(G1962),E1962*G1962,"")</f>
        <v>14.51684075</v>
      </c>
      <c r="J1962" s="24"/>
      <c r="K1962" s="19"/>
      <c r="L1962" s="174">
        <v>0</v>
      </c>
    </row>
    <row r="1963" spans="1:12" ht="39" hidden="1" thickBot="1" x14ac:dyDescent="0.3">
      <c r="A1963" s="181"/>
      <c r="B1963" s="179"/>
      <c r="C1963" s="25" t="s">
        <v>1237</v>
      </c>
      <c r="D1963" s="25" t="s">
        <v>305</v>
      </c>
      <c r="E1963" s="26">
        <v>1</v>
      </c>
      <c r="F1963" s="27" t="s">
        <v>1234</v>
      </c>
      <c r="G1963" s="23" t="s">
        <v>1079</v>
      </c>
      <c r="H1963" s="27" t="s">
        <v>33</v>
      </c>
      <c r="I1963" s="19" t="str">
        <f>IF(ISNUMBER(G1963),E1963*G1963,"")</f>
        <v/>
      </c>
      <c r="J1963" s="24"/>
      <c r="K1963" s="19"/>
      <c r="L1963" s="174">
        <v>0</v>
      </c>
    </row>
    <row r="1964" spans="1:12" ht="15.75" hidden="1" thickBot="1" x14ac:dyDescent="0.3">
      <c r="A1964" s="181"/>
      <c r="B1964" s="179"/>
      <c r="C1964" s="25" t="s">
        <v>819</v>
      </c>
      <c r="D1964" s="36" t="s">
        <v>588</v>
      </c>
      <c r="E1964" s="26">
        <v>9.4999999999999998E-3</v>
      </c>
      <c r="F1964" s="27" t="s">
        <v>1234</v>
      </c>
      <c r="G1964" s="23">
        <v>10.677999999999999</v>
      </c>
      <c r="H1964" s="27" t="s">
        <v>690</v>
      </c>
      <c r="I1964" s="19">
        <f>IF(ISNUMBER(G1964),E1964*G1964,"")</f>
        <v>0.10144099999999999</v>
      </c>
      <c r="J1964" s="24"/>
      <c r="K1964" s="19"/>
      <c r="L1964" s="174">
        <v>0</v>
      </c>
    </row>
    <row r="1965" spans="1:12" ht="15.75" hidden="1" thickBot="1" x14ac:dyDescent="0.3">
      <c r="A1965" s="182"/>
      <c r="B1965" s="183"/>
      <c r="C1965" s="25"/>
      <c r="D1965" s="25"/>
      <c r="E1965" s="26"/>
      <c r="F1965" s="27"/>
      <c r="G1965" s="19" t="s">
        <v>1079</v>
      </c>
      <c r="H1965" s="27"/>
      <c r="I1965" s="19" t="str">
        <f>IF(ISNUMBER(G1965),E1965*G1965,"")</f>
        <v/>
      </c>
      <c r="J1965" s="24"/>
      <c r="K1965" s="19"/>
      <c r="L1965" s="174">
        <v>0</v>
      </c>
    </row>
    <row r="1966" spans="1:12" ht="15.75" hidden="1" thickBot="1" x14ac:dyDescent="0.3">
      <c r="A1966" s="180" t="s">
        <v>1238</v>
      </c>
      <c r="B1966" s="178" t="str">
        <f>INDEX(Orçamentária!A:B,MATCH(Composições!A1966,Orçamentária!A:A,0),2)</f>
        <v>Válvula de balanceamento e controle independente da pressão (PIBCV) 2 vias 1"</v>
      </c>
      <c r="C1966" s="30"/>
      <c r="D1966" s="13" t="str">
        <f>TRIM(INDEX(Orçamentária!C:C,MATCH(Composições!A1966,Orçamentária!A:A,0),1))</f>
        <v>un</v>
      </c>
      <c r="E1966" s="14"/>
      <c r="F1966" s="15" t="s">
        <v>1231</v>
      </c>
      <c r="G1966" s="31" t="s">
        <v>1079</v>
      </c>
      <c r="H1966" s="16"/>
      <c r="I1966" s="16" t="str">
        <f>IF(ISNUMBER(G1966),E1966*G1966,"")</f>
        <v/>
      </c>
      <c r="J1966" s="17"/>
      <c r="K1966" s="18"/>
      <c r="L1966" s="174">
        <v>0</v>
      </c>
    </row>
    <row r="1967" spans="1:12" ht="15.75" hidden="1" thickBot="1" x14ac:dyDescent="0.3">
      <c r="A1967" s="181"/>
      <c r="B1967" s="179"/>
      <c r="C1967" s="20"/>
      <c r="D1967" s="20"/>
      <c r="E1967" s="21"/>
      <c r="F1967" s="22"/>
      <c r="G1967" s="32" t="s">
        <v>1079</v>
      </c>
      <c r="H1967" s="20"/>
      <c r="I1967" s="19" t="str">
        <f>IF(ISNUMBER(G1967),E1967*G1967,"")</f>
        <v/>
      </c>
      <c r="J1967" s="24"/>
      <c r="K1967" s="19"/>
      <c r="L1967" s="174">
        <v>0</v>
      </c>
    </row>
    <row r="1968" spans="1:12" ht="26.25" hidden="1" thickBot="1" x14ac:dyDescent="0.3">
      <c r="A1968" s="181"/>
      <c r="B1968" s="179"/>
      <c r="C1968" s="25" t="s">
        <v>224</v>
      </c>
      <c r="D1968" s="36" t="s">
        <v>21</v>
      </c>
      <c r="E1968" s="26">
        <v>0.77449999999999997</v>
      </c>
      <c r="F1968" s="27" t="s">
        <v>1232</v>
      </c>
      <c r="G1968" s="19">
        <v>14.772500000000001</v>
      </c>
      <c r="H1968" s="27" t="s">
        <v>226</v>
      </c>
      <c r="I1968" s="19">
        <f>IF(ISNUMBER(G1968),E1968*G1968,"")</f>
        <v>11.44130125</v>
      </c>
      <c r="J1968" s="28">
        <f>SUM(I1968:I1972)</f>
        <v>26.059583000000003</v>
      </c>
      <c r="K1968" s="29"/>
      <c r="L1968" s="174">
        <v>0</v>
      </c>
    </row>
    <row r="1969" spans="1:12" ht="15.75" hidden="1" thickBot="1" x14ac:dyDescent="0.3">
      <c r="A1969" s="181"/>
      <c r="B1969" s="179"/>
      <c r="C1969" s="25" t="s">
        <v>70</v>
      </c>
      <c r="D1969" s="36" t="s">
        <v>21</v>
      </c>
      <c r="E1969" s="26">
        <v>0.77449999999999997</v>
      </c>
      <c r="F1969" s="27" t="s">
        <v>1232</v>
      </c>
      <c r="G1969" s="19">
        <v>18.743500000000001</v>
      </c>
      <c r="H1969" s="27" t="s">
        <v>71</v>
      </c>
      <c r="I1969" s="19">
        <f>IF(ISNUMBER(G1969),E1969*G1969,"")</f>
        <v>14.51684075</v>
      </c>
      <c r="J1969" s="24"/>
      <c r="K1969" s="19"/>
      <c r="L1969" s="174">
        <v>0</v>
      </c>
    </row>
    <row r="1970" spans="1:12" ht="15.75" hidden="1" thickBot="1" x14ac:dyDescent="0.3">
      <c r="A1970" s="181"/>
      <c r="B1970" s="179"/>
      <c r="C1970" s="25" t="s">
        <v>819</v>
      </c>
      <c r="D1970" s="36" t="s">
        <v>588</v>
      </c>
      <c r="E1970" s="26">
        <v>9.4999999999999998E-3</v>
      </c>
      <c r="F1970" s="27" t="s">
        <v>1232</v>
      </c>
      <c r="G1970" s="23">
        <v>10.677999999999999</v>
      </c>
      <c r="H1970" s="27" t="s">
        <v>690</v>
      </c>
      <c r="I1970" s="19">
        <f>IF(ISNUMBER(G1970),E1970*G1970,"")</f>
        <v>0.10144099999999999</v>
      </c>
      <c r="J1970" s="24"/>
      <c r="K1970" s="19"/>
      <c r="L1970" s="174">
        <v>0</v>
      </c>
    </row>
    <row r="1971" spans="1:12" ht="39" hidden="1" thickBot="1" x14ac:dyDescent="0.3">
      <c r="A1971" s="181"/>
      <c r="B1971" s="179"/>
      <c r="C1971" s="25" t="s">
        <v>1239</v>
      </c>
      <c r="D1971" s="25" t="s">
        <v>305</v>
      </c>
      <c r="E1971" s="26">
        <v>1</v>
      </c>
      <c r="F1971" s="27" t="s">
        <v>17</v>
      </c>
      <c r="G1971" s="23" t="s">
        <v>1079</v>
      </c>
      <c r="H1971" s="27" t="s">
        <v>33</v>
      </c>
      <c r="I1971" s="19" t="str">
        <f>IF(ISNUMBER(G1971),E1971*G1971,"")</f>
        <v/>
      </c>
      <c r="J1971" s="24"/>
      <c r="K1971" s="19"/>
      <c r="L1971" s="174">
        <v>0</v>
      </c>
    </row>
    <row r="1972" spans="1:12" ht="39" hidden="1" thickBot="1" x14ac:dyDescent="0.3">
      <c r="A1972" s="181"/>
      <c r="B1972" s="179"/>
      <c r="C1972" s="25" t="s">
        <v>1240</v>
      </c>
      <c r="D1972" s="25" t="s">
        <v>305</v>
      </c>
      <c r="E1972" s="26">
        <v>1</v>
      </c>
      <c r="F1972" s="27" t="s">
        <v>1232</v>
      </c>
      <c r="G1972" s="23" t="s">
        <v>1079</v>
      </c>
      <c r="H1972" s="27" t="s">
        <v>33</v>
      </c>
      <c r="I1972" s="19" t="str">
        <f>IF(ISNUMBER(G1972),E1972*G1972,"")</f>
        <v/>
      </c>
      <c r="J1972" s="24"/>
      <c r="K1972" s="19"/>
      <c r="L1972" s="174">
        <v>0</v>
      </c>
    </row>
    <row r="1973" spans="1:12" ht="15.75" hidden="1" thickBot="1" x14ac:dyDescent="0.3">
      <c r="A1973" s="182"/>
      <c r="B1973" s="183"/>
      <c r="C1973" s="25"/>
      <c r="D1973" s="25"/>
      <c r="E1973" s="26"/>
      <c r="F1973" s="27"/>
      <c r="G1973" s="19" t="s">
        <v>1079</v>
      </c>
      <c r="H1973" s="27"/>
      <c r="I1973" s="19" t="str">
        <f>IF(ISNUMBER(G1973),E1973*G1973,"")</f>
        <v/>
      </c>
      <c r="J1973" s="24"/>
      <c r="K1973" s="19"/>
      <c r="L1973" s="174">
        <v>0</v>
      </c>
    </row>
    <row r="1974" spans="1:12" ht="15.75" hidden="1" thickBot="1" x14ac:dyDescent="0.3">
      <c r="A1974" s="180" t="s">
        <v>1241</v>
      </c>
      <c r="B1974" s="178" t="str">
        <f>INDEX(Orçamentária!A:B,MATCH(Composições!A1974,Orçamentária!A:A,0),2)</f>
        <v>Válvula de balanceamento e controle independente da pressão (PIBCV) 2 vias 3/4"</v>
      </c>
      <c r="C1974" s="30"/>
      <c r="D1974" s="13" t="str">
        <f>TRIM(INDEX(Orçamentária!C:C,MATCH(Composições!A1974,Orçamentária!A:A,0),1))</f>
        <v>un</v>
      </c>
      <c r="E1974" s="14"/>
      <c r="F1974" s="15" t="s">
        <v>1236</v>
      </c>
      <c r="G1974" s="31" t="s">
        <v>1079</v>
      </c>
      <c r="H1974" s="16"/>
      <c r="I1974" s="16" t="str">
        <f>IF(ISNUMBER(G1974),E1974*G1974,"")</f>
        <v/>
      </c>
      <c r="J1974" s="17"/>
      <c r="K1974" s="18"/>
      <c r="L1974" s="174">
        <v>0</v>
      </c>
    </row>
    <row r="1975" spans="1:12" ht="15.75" hidden="1" thickBot="1" x14ac:dyDescent="0.3">
      <c r="A1975" s="181"/>
      <c r="B1975" s="179"/>
      <c r="C1975" s="20"/>
      <c r="D1975" s="20"/>
      <c r="E1975" s="21"/>
      <c r="F1975" s="22"/>
      <c r="G1975" s="32" t="s">
        <v>1079</v>
      </c>
      <c r="H1975" s="20"/>
      <c r="I1975" s="19" t="str">
        <f>IF(ISNUMBER(G1975),E1975*G1975,"")</f>
        <v/>
      </c>
      <c r="J1975" s="24"/>
      <c r="K1975" s="19"/>
      <c r="L1975" s="174">
        <v>0</v>
      </c>
    </row>
    <row r="1976" spans="1:12" ht="26.25" hidden="1" thickBot="1" x14ac:dyDescent="0.3">
      <c r="A1976" s="181"/>
      <c r="B1976" s="179"/>
      <c r="C1976" s="25" t="s">
        <v>224</v>
      </c>
      <c r="D1976" s="36" t="s">
        <v>21</v>
      </c>
      <c r="E1976" s="26">
        <v>0.77449999999999997</v>
      </c>
      <c r="F1976" s="27" t="s">
        <v>1234</v>
      </c>
      <c r="G1976" s="19">
        <v>14.772500000000001</v>
      </c>
      <c r="H1976" s="27" t="s">
        <v>226</v>
      </c>
      <c r="I1976" s="19">
        <f>IF(ISNUMBER(G1976),E1976*G1976,"")</f>
        <v>11.44130125</v>
      </c>
      <c r="J1976" s="28">
        <f>SUM(I1976:I1980)</f>
        <v>26.059583000000003</v>
      </c>
      <c r="K1976" s="29"/>
      <c r="L1976" s="174">
        <v>0</v>
      </c>
    </row>
    <row r="1977" spans="1:12" ht="15.75" hidden="1" thickBot="1" x14ac:dyDescent="0.3">
      <c r="A1977" s="181"/>
      <c r="B1977" s="179"/>
      <c r="C1977" s="25" t="s">
        <v>70</v>
      </c>
      <c r="D1977" s="36" t="s">
        <v>21</v>
      </c>
      <c r="E1977" s="26">
        <v>0.77449999999999997</v>
      </c>
      <c r="F1977" s="27" t="s">
        <v>1234</v>
      </c>
      <c r="G1977" s="19">
        <v>18.743500000000001</v>
      </c>
      <c r="H1977" s="27" t="s">
        <v>71</v>
      </c>
      <c r="I1977" s="19">
        <f>IF(ISNUMBER(G1977),E1977*G1977,"")</f>
        <v>14.51684075</v>
      </c>
      <c r="J1977" s="24"/>
      <c r="K1977" s="19"/>
      <c r="L1977" s="174">
        <v>0</v>
      </c>
    </row>
    <row r="1978" spans="1:12" ht="15.75" hidden="1" thickBot="1" x14ac:dyDescent="0.3">
      <c r="A1978" s="181"/>
      <c r="B1978" s="179"/>
      <c r="C1978" s="25" t="s">
        <v>819</v>
      </c>
      <c r="D1978" s="36" t="s">
        <v>588</v>
      </c>
      <c r="E1978" s="26">
        <v>9.4999999999999998E-3</v>
      </c>
      <c r="F1978" s="27" t="s">
        <v>1234</v>
      </c>
      <c r="G1978" s="23">
        <v>10.677999999999999</v>
      </c>
      <c r="H1978" s="27" t="s">
        <v>690</v>
      </c>
      <c r="I1978" s="19">
        <f>IF(ISNUMBER(G1978),E1978*G1978,"")</f>
        <v>0.10144099999999999</v>
      </c>
      <c r="J1978" s="24"/>
      <c r="K1978" s="19"/>
      <c r="L1978" s="174">
        <v>0</v>
      </c>
    </row>
    <row r="1979" spans="1:12" ht="39" hidden="1" thickBot="1" x14ac:dyDescent="0.3">
      <c r="A1979" s="181"/>
      <c r="B1979" s="179"/>
      <c r="C1979" s="25" t="s">
        <v>1239</v>
      </c>
      <c r="D1979" s="25" t="s">
        <v>305</v>
      </c>
      <c r="E1979" s="26">
        <v>1</v>
      </c>
      <c r="F1979" s="27" t="s">
        <v>17</v>
      </c>
      <c r="G1979" s="23" t="s">
        <v>1079</v>
      </c>
      <c r="H1979" s="27" t="s">
        <v>33</v>
      </c>
      <c r="I1979" s="19" t="str">
        <f>IF(ISNUMBER(G1979),E1979*G1979,"")</f>
        <v/>
      </c>
      <c r="J1979" s="24"/>
      <c r="K1979" s="19"/>
      <c r="L1979" s="174">
        <v>0</v>
      </c>
    </row>
    <row r="1980" spans="1:12" ht="39" hidden="1" thickBot="1" x14ac:dyDescent="0.3">
      <c r="A1980" s="181"/>
      <c r="B1980" s="179"/>
      <c r="C1980" s="25" t="s">
        <v>1242</v>
      </c>
      <c r="D1980" s="25" t="s">
        <v>305</v>
      </c>
      <c r="E1980" s="26">
        <v>1</v>
      </c>
      <c r="F1980" s="27" t="s">
        <v>1234</v>
      </c>
      <c r="G1980" s="23" t="s">
        <v>1079</v>
      </c>
      <c r="H1980" s="27" t="s">
        <v>33</v>
      </c>
      <c r="I1980" s="19" t="str">
        <f>IF(ISNUMBER(G1980),E1980*G1980,"")</f>
        <v/>
      </c>
      <c r="J1980" s="24"/>
      <c r="K1980" s="19"/>
      <c r="L1980" s="174">
        <v>0</v>
      </c>
    </row>
    <row r="1981" spans="1:12" ht="15.75" hidden="1" thickBot="1" x14ac:dyDescent="0.3">
      <c r="A1981" s="182"/>
      <c r="B1981" s="183"/>
      <c r="C1981" s="25"/>
      <c r="D1981" s="25"/>
      <c r="E1981" s="26"/>
      <c r="F1981" s="27"/>
      <c r="G1981" s="19" t="s">
        <v>1079</v>
      </c>
      <c r="H1981" s="27"/>
      <c r="I1981" s="19" t="str">
        <f>IF(ISNUMBER(G1981),E1981*G1981,"")</f>
        <v/>
      </c>
      <c r="J1981" s="24"/>
      <c r="K1981" s="19"/>
      <c r="L1981" s="174">
        <v>0</v>
      </c>
    </row>
    <row r="1982" spans="1:12" ht="15.75" hidden="1" thickBot="1" x14ac:dyDescent="0.3">
      <c r="A1982" s="180" t="s">
        <v>1243</v>
      </c>
      <c r="B1982" s="178" t="str">
        <f>INDEX(Orçamentária!A:B,MATCH(Composições!A1982,Orçamentária!A:A,0),2)</f>
        <v>Válvula de esfera em bronze 1 1/2"</v>
      </c>
      <c r="C1982" s="30"/>
      <c r="D1982" s="13" t="str">
        <f>TRIM(INDEX(Orçamentária!C:C,MATCH(Composições!A1982,Orçamentária!A:A,0),1))</f>
        <v>un</v>
      </c>
      <c r="E1982" s="14"/>
      <c r="F1982" s="15" t="s">
        <v>1244</v>
      </c>
      <c r="G1982" s="31" t="s">
        <v>1079</v>
      </c>
      <c r="H1982" s="16"/>
      <c r="I1982" s="16" t="str">
        <f>IF(ISNUMBER(G1982),E1982*G1982,"")</f>
        <v/>
      </c>
      <c r="J1982" s="17"/>
      <c r="K1982" s="18"/>
      <c r="L1982" s="174">
        <v>0</v>
      </c>
    </row>
    <row r="1983" spans="1:12" ht="15.75" hidden="1" thickBot="1" x14ac:dyDescent="0.3">
      <c r="A1983" s="181"/>
      <c r="B1983" s="179"/>
      <c r="C1983" s="20"/>
      <c r="D1983" s="20"/>
      <c r="E1983" s="21"/>
      <c r="F1983" s="22"/>
      <c r="G1983" s="32" t="s">
        <v>1079</v>
      </c>
      <c r="H1983" s="20"/>
      <c r="I1983" s="19" t="str">
        <f>IF(ISNUMBER(G1983),E1983*G1983,"")</f>
        <v/>
      </c>
      <c r="J1983" s="24"/>
      <c r="K1983" s="19"/>
      <c r="L1983" s="174">
        <v>0</v>
      </c>
    </row>
    <row r="1984" spans="1:12" ht="15.75" hidden="1" thickBot="1" x14ac:dyDescent="0.3">
      <c r="A1984" s="181"/>
      <c r="B1984" s="179"/>
      <c r="C1984" s="25" t="s">
        <v>819</v>
      </c>
      <c r="D1984" s="36" t="s">
        <v>588</v>
      </c>
      <c r="E1984" s="26">
        <v>1.9E-2</v>
      </c>
      <c r="F1984" s="27" t="s">
        <v>1244</v>
      </c>
      <c r="G1984" s="23">
        <v>10.677999999999999</v>
      </c>
      <c r="H1984" s="27" t="s">
        <v>690</v>
      </c>
      <c r="I1984" s="19">
        <f>IF(ISNUMBER(G1984),E1984*G1984,"")</f>
        <v>0.20288199999999998</v>
      </c>
      <c r="J1984" s="28">
        <f>SUM(I1984:I1987)</f>
        <v>135.23200599999998</v>
      </c>
      <c r="K1984" s="29"/>
      <c r="L1984" s="174">
        <v>0</v>
      </c>
    </row>
    <row r="1985" spans="1:12" ht="26.25" hidden="1" thickBot="1" x14ac:dyDescent="0.3">
      <c r="A1985" s="181"/>
      <c r="B1985" s="179"/>
      <c r="C1985" s="25" t="s">
        <v>1245</v>
      </c>
      <c r="D1985" s="36" t="s">
        <v>32</v>
      </c>
      <c r="E1985" s="26">
        <v>1</v>
      </c>
      <c r="F1985" s="27" t="s">
        <v>1244</v>
      </c>
      <c r="G1985" s="23">
        <v>108.58499999999999</v>
      </c>
      <c r="H1985" s="27" t="s">
        <v>1246</v>
      </c>
      <c r="I1985" s="19">
        <f>IF(ISNUMBER(G1985),E1985*G1985,"")</f>
        <v>108.58499999999999</v>
      </c>
      <c r="J1985" s="24"/>
      <c r="K1985" s="19"/>
      <c r="L1985" s="174">
        <v>0</v>
      </c>
    </row>
    <row r="1986" spans="1:12" ht="26.25" hidden="1" thickBot="1" x14ac:dyDescent="0.3">
      <c r="A1986" s="181"/>
      <c r="B1986" s="179"/>
      <c r="C1986" s="25" t="s">
        <v>224</v>
      </c>
      <c r="D1986" s="36" t="s">
        <v>21</v>
      </c>
      <c r="E1986" s="26">
        <v>0.78900000000000003</v>
      </c>
      <c r="F1986" s="27" t="s">
        <v>1244</v>
      </c>
      <c r="G1986" s="19">
        <v>14.772500000000001</v>
      </c>
      <c r="H1986" s="27" t="s">
        <v>226</v>
      </c>
      <c r="I1986" s="23">
        <f>IF(ISNUMBER(G1986),E1986*G1986,"")</f>
        <v>11.655502500000001</v>
      </c>
      <c r="J1986" s="24"/>
      <c r="K1986" s="19"/>
      <c r="L1986" s="174">
        <v>0</v>
      </c>
    </row>
    <row r="1987" spans="1:12" ht="15.75" hidden="1" thickBot="1" x14ac:dyDescent="0.3">
      <c r="A1987" s="181"/>
      <c r="B1987" s="179"/>
      <c r="C1987" s="25" t="s">
        <v>70</v>
      </c>
      <c r="D1987" s="36" t="s">
        <v>21</v>
      </c>
      <c r="E1987" s="26">
        <v>0.78900000000000003</v>
      </c>
      <c r="F1987" s="27" t="s">
        <v>1244</v>
      </c>
      <c r="G1987" s="19">
        <v>18.743500000000001</v>
      </c>
      <c r="H1987" s="27" t="s">
        <v>71</v>
      </c>
      <c r="I1987" s="23">
        <f>IF(ISNUMBER(G1987),E1987*G1987,"")</f>
        <v>14.788621500000001</v>
      </c>
      <c r="J1987" s="24"/>
      <c r="K1987" s="19"/>
      <c r="L1987" s="174">
        <v>0</v>
      </c>
    </row>
    <row r="1988" spans="1:12" ht="15.75" hidden="1" thickBot="1" x14ac:dyDescent="0.3">
      <c r="A1988" s="182"/>
      <c r="B1988" s="183"/>
      <c r="C1988" s="25"/>
      <c r="D1988" s="25"/>
      <c r="E1988" s="26"/>
      <c r="F1988" s="27"/>
      <c r="G1988" s="19" t="s">
        <v>1079</v>
      </c>
      <c r="H1988" s="27"/>
      <c r="I1988" s="19" t="str">
        <f>IF(ISNUMBER(G1988),E1988*G1988,"")</f>
        <v/>
      </c>
      <c r="J1988" s="24"/>
      <c r="K1988" s="19"/>
      <c r="L1988" s="174">
        <v>0</v>
      </c>
    </row>
    <row r="1989" spans="1:12" ht="15.75" hidden="1" thickBot="1" x14ac:dyDescent="0.3">
      <c r="A1989" s="180" t="s">
        <v>1247</v>
      </c>
      <c r="B1989" s="178" t="str">
        <f>INDEX(Orçamentária!A:B,MATCH(Composições!A1989,Orçamentária!A:A,0),2)</f>
        <v>Válvula de esfera em bronze 1 1/4"</v>
      </c>
      <c r="C1989" s="30"/>
      <c r="D1989" s="13" t="str">
        <f>TRIM(INDEX(Orçamentária!C:C,MATCH(Composições!A1989,Orçamentária!A:A,0),1))</f>
        <v>un</v>
      </c>
      <c r="E1989" s="14"/>
      <c r="F1989" s="15" t="s">
        <v>1248</v>
      </c>
      <c r="G1989" s="31" t="s">
        <v>1079</v>
      </c>
      <c r="H1989" s="16"/>
      <c r="I1989" s="16" t="str">
        <f>IF(ISNUMBER(G1989),E1989*G1989,"")</f>
        <v/>
      </c>
      <c r="J1989" s="17"/>
      <c r="K1989" s="18"/>
      <c r="L1989" s="174">
        <v>0</v>
      </c>
    </row>
    <row r="1990" spans="1:12" ht="15.75" hidden="1" thickBot="1" x14ac:dyDescent="0.3">
      <c r="A1990" s="181"/>
      <c r="B1990" s="179"/>
      <c r="C1990" s="20"/>
      <c r="D1990" s="20"/>
      <c r="E1990" s="21"/>
      <c r="F1990" s="22"/>
      <c r="G1990" s="32" t="s">
        <v>1079</v>
      </c>
      <c r="H1990" s="20"/>
      <c r="I1990" s="19" t="str">
        <f>IF(ISNUMBER(G1990),E1990*G1990,"")</f>
        <v/>
      </c>
      <c r="J1990" s="24"/>
      <c r="K1990" s="19"/>
      <c r="L1990" s="174">
        <v>0</v>
      </c>
    </row>
    <row r="1991" spans="1:12" ht="15.75" hidden="1" thickBot="1" x14ac:dyDescent="0.3">
      <c r="A1991" s="181"/>
      <c r="B1991" s="179"/>
      <c r="C1991" s="25" t="s">
        <v>819</v>
      </c>
      <c r="D1991" s="36" t="s">
        <v>588</v>
      </c>
      <c r="E1991" s="26">
        <v>1.9E-2</v>
      </c>
      <c r="F1991" s="27" t="s">
        <v>1248</v>
      </c>
      <c r="G1991" s="23">
        <v>10.677999999999999</v>
      </c>
      <c r="H1991" s="27" t="s">
        <v>690</v>
      </c>
      <c r="I1991" s="19">
        <f>IF(ISNUMBER(G1991),E1991*G1991,"")</f>
        <v>0.20288199999999998</v>
      </c>
      <c r="J1991" s="28">
        <f>SUM(I1991:I1994)</f>
        <v>116.76400599999999</v>
      </c>
      <c r="K1991" s="29"/>
      <c r="L1991" s="174">
        <v>0</v>
      </c>
    </row>
    <row r="1992" spans="1:12" ht="26.25" hidden="1" thickBot="1" x14ac:dyDescent="0.3">
      <c r="A1992" s="181"/>
      <c r="B1992" s="179"/>
      <c r="C1992" s="25" t="s">
        <v>1249</v>
      </c>
      <c r="D1992" s="36" t="s">
        <v>32</v>
      </c>
      <c r="E1992" s="26">
        <v>1</v>
      </c>
      <c r="F1992" s="27" t="s">
        <v>1248</v>
      </c>
      <c r="G1992" s="23">
        <v>90.11699999999999</v>
      </c>
      <c r="H1992" s="27" t="s">
        <v>1250</v>
      </c>
      <c r="I1992" s="19">
        <f>IF(ISNUMBER(G1992),E1992*G1992,"")</f>
        <v>90.11699999999999</v>
      </c>
      <c r="J1992" s="24"/>
      <c r="K1992" s="19"/>
      <c r="L1992" s="174">
        <v>0</v>
      </c>
    </row>
    <row r="1993" spans="1:12" ht="26.25" hidden="1" thickBot="1" x14ac:dyDescent="0.3">
      <c r="A1993" s="181"/>
      <c r="B1993" s="179"/>
      <c r="C1993" s="25" t="s">
        <v>224</v>
      </c>
      <c r="D1993" s="36" t="s">
        <v>21</v>
      </c>
      <c r="E1993" s="26">
        <v>0.78900000000000003</v>
      </c>
      <c r="F1993" s="27" t="s">
        <v>1248</v>
      </c>
      <c r="G1993" s="19">
        <v>14.772500000000001</v>
      </c>
      <c r="H1993" s="27" t="s">
        <v>226</v>
      </c>
      <c r="I1993" s="23">
        <f>IF(ISNUMBER(G1993),E1993*G1993,"")</f>
        <v>11.655502500000001</v>
      </c>
      <c r="J1993" s="24"/>
      <c r="K1993" s="19"/>
      <c r="L1993" s="174">
        <v>0</v>
      </c>
    </row>
    <row r="1994" spans="1:12" ht="15.75" hidden="1" thickBot="1" x14ac:dyDescent="0.3">
      <c r="A1994" s="181"/>
      <c r="B1994" s="179"/>
      <c r="C1994" s="25" t="s">
        <v>70</v>
      </c>
      <c r="D1994" s="36" t="s">
        <v>21</v>
      </c>
      <c r="E1994" s="26">
        <v>0.78900000000000003</v>
      </c>
      <c r="F1994" s="27" t="s">
        <v>1248</v>
      </c>
      <c r="G1994" s="19">
        <v>18.743500000000001</v>
      </c>
      <c r="H1994" s="27" t="s">
        <v>71</v>
      </c>
      <c r="I1994" s="23">
        <f>IF(ISNUMBER(G1994),E1994*G1994,"")</f>
        <v>14.788621500000001</v>
      </c>
      <c r="J1994" s="24"/>
      <c r="K1994" s="19"/>
      <c r="L1994" s="174">
        <v>0</v>
      </c>
    </row>
    <row r="1995" spans="1:12" ht="15.75" hidden="1" thickBot="1" x14ac:dyDescent="0.3">
      <c r="A1995" s="182"/>
      <c r="B1995" s="183"/>
      <c r="C1995" s="25"/>
      <c r="D1995" s="25"/>
      <c r="E1995" s="26"/>
      <c r="F1995" s="27"/>
      <c r="G1995" s="19" t="s">
        <v>1079</v>
      </c>
      <c r="H1995" s="27"/>
      <c r="I1995" s="19" t="str">
        <f>IF(ISNUMBER(G1995),E1995*G1995,"")</f>
        <v/>
      </c>
      <c r="J1995" s="24"/>
      <c r="K1995" s="19"/>
      <c r="L1995" s="174">
        <v>0</v>
      </c>
    </row>
    <row r="1996" spans="1:12" ht="15.75" hidden="1" thickBot="1" x14ac:dyDescent="0.3">
      <c r="A1996" s="180" t="s">
        <v>1251</v>
      </c>
      <c r="B1996" s="178" t="str">
        <f>INDEX(Orçamentária!A:B,MATCH(Composições!A1996,Orçamentária!A:A,0),2)</f>
        <v>Válvula de esfera em bronze 1"</v>
      </c>
      <c r="C1996" s="30"/>
      <c r="D1996" s="13" t="str">
        <f>TRIM(INDEX(Orçamentária!C:C,MATCH(Composições!A1996,Orçamentária!A:A,0),1))</f>
        <v>un</v>
      </c>
      <c r="E1996" s="14"/>
      <c r="F1996" s="15" t="s">
        <v>1232</v>
      </c>
      <c r="G1996" s="31" t="s">
        <v>1079</v>
      </c>
      <c r="H1996" s="16"/>
      <c r="I1996" s="16" t="str">
        <f>IF(ISNUMBER(G1996),E1996*G1996,"")</f>
        <v/>
      </c>
      <c r="J1996" s="17"/>
      <c r="K1996" s="18"/>
      <c r="L1996" s="174">
        <v>0</v>
      </c>
    </row>
    <row r="1997" spans="1:12" ht="15.75" hidden="1" thickBot="1" x14ac:dyDescent="0.3">
      <c r="A1997" s="181"/>
      <c r="B1997" s="179"/>
      <c r="C1997" s="20"/>
      <c r="D1997" s="20"/>
      <c r="E1997" s="21"/>
      <c r="F1997" s="22"/>
      <c r="G1997" s="32" t="s">
        <v>1079</v>
      </c>
      <c r="H1997" s="20"/>
      <c r="I1997" s="19" t="str">
        <f>IF(ISNUMBER(G1997),E1997*G1997,"")</f>
        <v/>
      </c>
      <c r="J1997" s="24"/>
      <c r="K1997" s="19"/>
      <c r="L1997" s="174">
        <v>0</v>
      </c>
    </row>
    <row r="1998" spans="1:12" ht="15.75" hidden="1" thickBot="1" x14ac:dyDescent="0.3">
      <c r="A1998" s="181"/>
      <c r="B1998" s="179"/>
      <c r="C1998" s="25" t="s">
        <v>819</v>
      </c>
      <c r="D1998" s="36" t="s">
        <v>588</v>
      </c>
      <c r="E1998" s="26">
        <v>9.4999999999999998E-3</v>
      </c>
      <c r="F1998" s="27" t="s">
        <v>1232</v>
      </c>
      <c r="G1998" s="23">
        <v>10.677999999999999</v>
      </c>
      <c r="H1998" s="27" t="s">
        <v>690</v>
      </c>
      <c r="I1998" s="19">
        <f>IF(ISNUMBER(G1998),E1998*G1998,"")</f>
        <v>0.10144099999999999</v>
      </c>
      <c r="J1998" s="28">
        <f>SUM(I1998:I2001)</f>
        <v>86.517583000000002</v>
      </c>
      <c r="K1998" s="29"/>
      <c r="L1998" s="174">
        <v>0</v>
      </c>
    </row>
    <row r="1999" spans="1:12" ht="15.75" hidden="1" thickBot="1" x14ac:dyDescent="0.3">
      <c r="A1999" s="181"/>
      <c r="B1999" s="179"/>
      <c r="C1999" s="25" t="s">
        <v>1252</v>
      </c>
      <c r="D1999" s="36" t="s">
        <v>32</v>
      </c>
      <c r="E1999" s="26">
        <v>1</v>
      </c>
      <c r="F1999" s="27" t="s">
        <v>1232</v>
      </c>
      <c r="G1999" s="23">
        <v>60.457999999999998</v>
      </c>
      <c r="H1999" s="27" t="s">
        <v>1253</v>
      </c>
      <c r="I1999" s="19">
        <f>IF(ISNUMBER(G1999),E1999*G1999,"")</f>
        <v>60.457999999999998</v>
      </c>
      <c r="J1999" s="24"/>
      <c r="K1999" s="19"/>
      <c r="L1999" s="174">
        <v>0</v>
      </c>
    </row>
    <row r="2000" spans="1:12" ht="26.25" hidden="1" thickBot="1" x14ac:dyDescent="0.3">
      <c r="A2000" s="181"/>
      <c r="B2000" s="179"/>
      <c r="C2000" s="25" t="s">
        <v>224</v>
      </c>
      <c r="D2000" s="25" t="s">
        <v>21</v>
      </c>
      <c r="E2000" s="26">
        <v>0.77449999999999997</v>
      </c>
      <c r="F2000" s="27" t="s">
        <v>1232</v>
      </c>
      <c r="G2000" s="19">
        <v>14.772500000000001</v>
      </c>
      <c r="H2000" s="27" t="s">
        <v>226</v>
      </c>
      <c r="I2000" s="23">
        <f>IF(ISNUMBER(G2000),E2000*G2000,"")</f>
        <v>11.44130125</v>
      </c>
      <c r="J2000" s="24"/>
      <c r="K2000" s="19"/>
      <c r="L2000" s="174">
        <v>0</v>
      </c>
    </row>
    <row r="2001" spans="1:12" ht="15.75" hidden="1" thickBot="1" x14ac:dyDescent="0.3">
      <c r="A2001" s="181"/>
      <c r="B2001" s="179"/>
      <c r="C2001" s="25" t="s">
        <v>70</v>
      </c>
      <c r="D2001" s="36" t="s">
        <v>21</v>
      </c>
      <c r="E2001" s="26">
        <v>0.77449999999999997</v>
      </c>
      <c r="F2001" s="27" t="s">
        <v>1232</v>
      </c>
      <c r="G2001" s="19">
        <v>18.743500000000001</v>
      </c>
      <c r="H2001" s="27" t="s">
        <v>71</v>
      </c>
      <c r="I2001" s="23">
        <f>IF(ISNUMBER(G2001),E2001*G2001,"")</f>
        <v>14.51684075</v>
      </c>
      <c r="J2001" s="24"/>
      <c r="K2001" s="19"/>
      <c r="L2001" s="174">
        <v>0</v>
      </c>
    </row>
    <row r="2002" spans="1:12" ht="15.75" hidden="1" thickBot="1" x14ac:dyDescent="0.3">
      <c r="A2002" s="182"/>
      <c r="B2002" s="183"/>
      <c r="C2002" s="25"/>
      <c r="D2002" s="25"/>
      <c r="E2002" s="26"/>
      <c r="F2002" s="27"/>
      <c r="G2002" s="19" t="s">
        <v>1079</v>
      </c>
      <c r="H2002" s="27"/>
      <c r="I2002" s="19" t="str">
        <f>IF(ISNUMBER(G2002),E2002*G2002,"")</f>
        <v/>
      </c>
      <c r="J2002" s="24"/>
      <c r="K2002" s="19"/>
      <c r="L2002" s="174">
        <v>0</v>
      </c>
    </row>
    <row r="2003" spans="1:12" ht="15.75" hidden="1" thickBot="1" x14ac:dyDescent="0.3">
      <c r="A2003" s="180" t="s">
        <v>1254</v>
      </c>
      <c r="B2003" s="178" t="str">
        <f>INDEX(Orçamentária!A:B,MATCH(Composições!A2003,Orçamentária!A:A,0),2)</f>
        <v>Válvula de esfera em bronze 3/4"</v>
      </c>
      <c r="C2003" s="30"/>
      <c r="D2003" s="13" t="str">
        <f>TRIM(INDEX(Orçamentária!C:C,MATCH(Composições!A2003,Orçamentária!A:A,0),1))</f>
        <v>un</v>
      </c>
      <c r="E2003" s="14"/>
      <c r="F2003" s="15" t="s">
        <v>1234</v>
      </c>
      <c r="G2003" s="31" t="s">
        <v>1079</v>
      </c>
      <c r="H2003" s="16"/>
      <c r="I2003" s="16" t="str">
        <f>IF(ISNUMBER(G2003),E2003*G2003,"")</f>
        <v/>
      </c>
      <c r="J2003" s="17"/>
      <c r="K2003" s="18"/>
      <c r="L2003" s="174">
        <v>0</v>
      </c>
    </row>
    <row r="2004" spans="1:12" ht="15.75" hidden="1" thickBot="1" x14ac:dyDescent="0.3">
      <c r="A2004" s="181"/>
      <c r="B2004" s="179"/>
      <c r="C2004" s="20"/>
      <c r="D2004" s="20"/>
      <c r="E2004" s="21"/>
      <c r="F2004" s="22"/>
      <c r="G2004" s="32" t="s">
        <v>1079</v>
      </c>
      <c r="H2004" s="20"/>
      <c r="I2004" s="19" t="str">
        <f>IF(ISNUMBER(G2004),E2004*G2004,"")</f>
        <v/>
      </c>
      <c r="J2004" s="24"/>
      <c r="K2004" s="19"/>
      <c r="L2004" s="174">
        <v>0</v>
      </c>
    </row>
    <row r="2005" spans="1:12" ht="15.75" hidden="1" thickBot="1" x14ac:dyDescent="0.3">
      <c r="A2005" s="181"/>
      <c r="B2005" s="179"/>
      <c r="C2005" s="25" t="s">
        <v>819</v>
      </c>
      <c r="D2005" s="36" t="s">
        <v>588</v>
      </c>
      <c r="E2005" s="26">
        <v>9.4999999999999998E-3</v>
      </c>
      <c r="F2005" s="27" t="s">
        <v>1234</v>
      </c>
      <c r="G2005" s="23">
        <v>10.677999999999999</v>
      </c>
      <c r="H2005" s="27" t="s">
        <v>690</v>
      </c>
      <c r="I2005" s="19">
        <f>IF(ISNUMBER(G2005),E2005*G2005,"")</f>
        <v>0.10144099999999999</v>
      </c>
      <c r="J2005" s="28">
        <f>SUM(I2005:I2008)</f>
        <v>70.842583000000005</v>
      </c>
      <c r="K2005" s="29"/>
      <c r="L2005" s="174">
        <v>0</v>
      </c>
    </row>
    <row r="2006" spans="1:12" ht="15.75" hidden="1" thickBot="1" x14ac:dyDescent="0.3">
      <c r="A2006" s="181"/>
      <c r="B2006" s="179"/>
      <c r="C2006" s="25" t="s">
        <v>1255</v>
      </c>
      <c r="D2006" s="36" t="s">
        <v>32</v>
      </c>
      <c r="E2006" s="26">
        <v>1</v>
      </c>
      <c r="F2006" s="27" t="s">
        <v>1234</v>
      </c>
      <c r="G2006" s="23">
        <v>44.783000000000001</v>
      </c>
      <c r="H2006" s="27" t="s">
        <v>1256</v>
      </c>
      <c r="I2006" s="19">
        <f>IF(ISNUMBER(G2006),E2006*G2006,"")</f>
        <v>44.783000000000001</v>
      </c>
      <c r="J2006" s="24"/>
      <c r="K2006" s="19"/>
      <c r="L2006" s="174">
        <v>0</v>
      </c>
    </row>
    <row r="2007" spans="1:12" ht="26.25" hidden="1" thickBot="1" x14ac:dyDescent="0.3">
      <c r="A2007" s="181"/>
      <c r="B2007" s="179"/>
      <c r="C2007" s="25" t="s">
        <v>224</v>
      </c>
      <c r="D2007" s="25" t="s">
        <v>21</v>
      </c>
      <c r="E2007" s="26">
        <v>0.77449999999999997</v>
      </c>
      <c r="F2007" s="27" t="s">
        <v>1234</v>
      </c>
      <c r="G2007" s="19">
        <v>14.772500000000001</v>
      </c>
      <c r="H2007" s="27" t="s">
        <v>226</v>
      </c>
      <c r="I2007" s="23">
        <f>IF(ISNUMBER(G2007),E2007*G2007,"")</f>
        <v>11.44130125</v>
      </c>
      <c r="J2007" s="24"/>
      <c r="K2007" s="19"/>
      <c r="L2007" s="174">
        <v>0</v>
      </c>
    </row>
    <row r="2008" spans="1:12" ht="15.75" hidden="1" thickBot="1" x14ac:dyDescent="0.3">
      <c r="A2008" s="181"/>
      <c r="B2008" s="179"/>
      <c r="C2008" s="25" t="s">
        <v>70</v>
      </c>
      <c r="D2008" s="36" t="s">
        <v>21</v>
      </c>
      <c r="E2008" s="26">
        <v>0.77449999999999997</v>
      </c>
      <c r="F2008" s="27" t="s">
        <v>1234</v>
      </c>
      <c r="G2008" s="19">
        <v>18.743500000000001</v>
      </c>
      <c r="H2008" s="27" t="s">
        <v>71</v>
      </c>
      <c r="I2008" s="23">
        <f>IF(ISNUMBER(G2008),E2008*G2008,"")</f>
        <v>14.51684075</v>
      </c>
      <c r="J2008" s="24"/>
      <c r="K2008" s="19"/>
      <c r="L2008" s="174">
        <v>0</v>
      </c>
    </row>
    <row r="2009" spans="1:12" ht="15.75" hidden="1" thickBot="1" x14ac:dyDescent="0.3">
      <c r="A2009" s="182"/>
      <c r="B2009" s="183"/>
      <c r="C2009" s="25"/>
      <c r="D2009" s="25"/>
      <c r="E2009" s="26"/>
      <c r="F2009" s="27"/>
      <c r="G2009" s="19" t="s">
        <v>1079</v>
      </c>
      <c r="H2009" s="27"/>
      <c r="I2009" s="19" t="str">
        <f>IF(ISNUMBER(G2009),E2009*G2009,"")</f>
        <v/>
      </c>
      <c r="J2009" s="24"/>
      <c r="K2009" s="19"/>
      <c r="L2009" s="174">
        <v>0</v>
      </c>
    </row>
    <row r="2010" spans="1:12" ht="15.75" hidden="1" thickBot="1" x14ac:dyDescent="0.3">
      <c r="A2010" s="180" t="s">
        <v>1257</v>
      </c>
      <c r="B2010" s="178" t="str">
        <f>INDEX(Orçamentária!A:B,MATCH(Composições!A2010,Orçamentária!A:A,0),2)</f>
        <v>Isolamento elastomérico em formato de prancha autoadesiva</v>
      </c>
      <c r="C2010" s="30"/>
      <c r="D2010" s="13" t="str">
        <f>TRIM(INDEX(Orçamentária!C:C,MATCH(Composições!A2010,Orçamentária!A:A,0),1))</f>
        <v>m2</v>
      </c>
      <c r="E2010" s="14"/>
      <c r="F2010" s="15" t="s">
        <v>17</v>
      </c>
      <c r="G2010" s="31" t="s">
        <v>1079</v>
      </c>
      <c r="H2010" s="16"/>
      <c r="I2010" s="16" t="str">
        <f>IF(ISNUMBER(G2010),E2010*G2010,"")</f>
        <v/>
      </c>
      <c r="J2010" s="17"/>
      <c r="K2010" s="18"/>
      <c r="L2010" s="174">
        <v>0</v>
      </c>
    </row>
    <row r="2011" spans="1:12" ht="15.75" hidden="1" thickBot="1" x14ac:dyDescent="0.3">
      <c r="A2011" s="181"/>
      <c r="B2011" s="179"/>
      <c r="C2011" s="20"/>
      <c r="D2011" s="20"/>
      <c r="E2011" s="21"/>
      <c r="F2011" s="22"/>
      <c r="G2011" s="32" t="s">
        <v>1079</v>
      </c>
      <c r="H2011" s="20"/>
      <c r="I2011" s="19" t="str">
        <f>IF(ISNUMBER(G2011),E2011*G2011,"")</f>
        <v/>
      </c>
      <c r="J2011" s="24"/>
      <c r="K2011" s="19"/>
      <c r="L2011" s="174">
        <v>0</v>
      </c>
    </row>
    <row r="2012" spans="1:12" ht="26.25" hidden="1" thickBot="1" x14ac:dyDescent="0.3">
      <c r="A2012" s="181"/>
      <c r="B2012" s="179"/>
      <c r="C2012" s="25" t="s">
        <v>224</v>
      </c>
      <c r="D2012" s="36" t="s">
        <v>21</v>
      </c>
      <c r="E2012" s="26">
        <v>0.1</v>
      </c>
      <c r="F2012" s="27" t="s">
        <v>17</v>
      </c>
      <c r="G2012" s="19">
        <v>14.772500000000001</v>
      </c>
      <c r="H2012" s="27" t="s">
        <v>226</v>
      </c>
      <c r="I2012" s="23">
        <f>IF(ISNUMBER(G2012),E2012*G2012,"")</f>
        <v>1.4772500000000002</v>
      </c>
      <c r="J2012" s="28">
        <f>SUM(I2012:I2014)</f>
        <v>3.3516000000000004</v>
      </c>
      <c r="K2012" s="29"/>
      <c r="L2012" s="174">
        <v>0</v>
      </c>
    </row>
    <row r="2013" spans="1:12" ht="15.75" hidden="1" thickBot="1" x14ac:dyDescent="0.3">
      <c r="A2013" s="181"/>
      <c r="B2013" s="179"/>
      <c r="C2013" s="25" t="s">
        <v>70</v>
      </c>
      <c r="D2013" s="36" t="s">
        <v>21</v>
      </c>
      <c r="E2013" s="26">
        <v>0.1</v>
      </c>
      <c r="F2013" s="27" t="s">
        <v>17</v>
      </c>
      <c r="G2013" s="19">
        <v>18.743500000000001</v>
      </c>
      <c r="H2013" s="27" t="s">
        <v>71</v>
      </c>
      <c r="I2013" s="23">
        <f>IF(ISNUMBER(G2013),E2013*G2013,"")</f>
        <v>1.8743500000000002</v>
      </c>
      <c r="J2013" s="24"/>
      <c r="K2013" s="19"/>
      <c r="L2013" s="174">
        <v>0</v>
      </c>
    </row>
    <row r="2014" spans="1:12" ht="26.25" hidden="1" thickBot="1" x14ac:dyDescent="0.3">
      <c r="A2014" s="181"/>
      <c r="B2014" s="179"/>
      <c r="C2014" s="25" t="s">
        <v>1258</v>
      </c>
      <c r="D2014" s="36" t="s">
        <v>189</v>
      </c>
      <c r="E2014" s="26">
        <v>1.05</v>
      </c>
      <c r="F2014" s="27" t="s">
        <v>17</v>
      </c>
      <c r="G2014" s="23" t="s">
        <v>1079</v>
      </c>
      <c r="H2014" s="27" t="s">
        <v>33</v>
      </c>
      <c r="I2014" s="23" t="str">
        <f>IF(ISNUMBER(G2014),E2014*G2014,"")</f>
        <v/>
      </c>
      <c r="J2014" s="24"/>
      <c r="K2014" s="19"/>
      <c r="L2014" s="174">
        <v>0</v>
      </c>
    </row>
    <row r="2015" spans="1:12" ht="15.75" hidden="1" thickBot="1" x14ac:dyDescent="0.3">
      <c r="A2015" s="182"/>
      <c r="B2015" s="183"/>
      <c r="C2015" s="25"/>
      <c r="D2015" s="25"/>
      <c r="E2015" s="26"/>
      <c r="F2015" s="27"/>
      <c r="G2015" s="19" t="s">
        <v>1079</v>
      </c>
      <c r="H2015" s="27"/>
      <c r="I2015" s="19" t="str">
        <f>IF(ISNUMBER(G2015),E2015*G2015,"")</f>
        <v/>
      </c>
      <c r="J2015" s="24"/>
      <c r="K2015" s="19"/>
      <c r="L2015" s="174">
        <v>0</v>
      </c>
    </row>
    <row r="2016" spans="1:12" ht="15.75" hidden="1" thickBot="1" x14ac:dyDescent="0.3">
      <c r="A2016" s="180" t="s">
        <v>1259</v>
      </c>
      <c r="B2016" s="178" t="str">
        <f>INDEX(Orçamentária!A:B,MATCH(Composições!A2016,Orçamentária!A:A,0),2)</f>
        <v>Isolamento elastomérico para tubulações de cobre de 1 1/8" / tubulações de ferro de 3/4"</v>
      </c>
      <c r="C2016" s="30"/>
      <c r="D2016" s="13" t="str">
        <f>TRIM(INDEX(Orçamentária!C:C,MATCH(Composições!A2016,Orçamentária!A:A,0),1))</f>
        <v>m</v>
      </c>
      <c r="E2016" s="14"/>
      <c r="F2016" s="15" t="s">
        <v>1260</v>
      </c>
      <c r="G2016" s="31" t="s">
        <v>1079</v>
      </c>
      <c r="H2016" s="16"/>
      <c r="I2016" s="16" t="str">
        <f>IF(ISNUMBER(G2016),E2016*G2016,"")</f>
        <v/>
      </c>
      <c r="J2016" s="17"/>
      <c r="K2016" s="18"/>
      <c r="L2016" s="174">
        <v>0</v>
      </c>
    </row>
    <row r="2017" spans="1:12" ht="15.75" hidden="1" thickBot="1" x14ac:dyDescent="0.3">
      <c r="A2017" s="181"/>
      <c r="B2017" s="179"/>
      <c r="C2017" s="20"/>
      <c r="D2017" s="20"/>
      <c r="E2017" s="21"/>
      <c r="F2017" s="22"/>
      <c r="G2017" s="32" t="s">
        <v>1079</v>
      </c>
      <c r="H2017" s="20"/>
      <c r="I2017" s="19" t="str">
        <f>IF(ISNUMBER(G2017),E2017*G2017,"")</f>
        <v/>
      </c>
      <c r="J2017" s="24"/>
      <c r="K2017" s="19"/>
      <c r="L2017" s="174">
        <v>0</v>
      </c>
    </row>
    <row r="2018" spans="1:12" ht="51.75" hidden="1" thickBot="1" x14ac:dyDescent="0.3">
      <c r="A2018" s="181"/>
      <c r="B2018" s="179"/>
      <c r="C2018" s="25" t="s">
        <v>1261</v>
      </c>
      <c r="D2018" s="36" t="s">
        <v>184</v>
      </c>
      <c r="E2018" s="26">
        <v>1.0210999999999999</v>
      </c>
      <c r="F2018" s="27" t="s">
        <v>1262</v>
      </c>
      <c r="G2018" s="23">
        <v>65.19</v>
      </c>
      <c r="H2018" s="27" t="s">
        <v>33</v>
      </c>
      <c r="I2018" s="23">
        <f>IF(ISNUMBER(G2018),E2018*G2018,"")</f>
        <v>66.565508999999992</v>
      </c>
      <c r="J2018" s="28">
        <f>SUM(I2018:I2020)</f>
        <v>67.209016199999994</v>
      </c>
      <c r="K2018" s="29"/>
      <c r="L2018" s="174">
        <v>0</v>
      </c>
    </row>
    <row r="2019" spans="1:12" ht="26.25" hidden="1" thickBot="1" x14ac:dyDescent="0.3">
      <c r="A2019" s="181"/>
      <c r="B2019" s="179"/>
      <c r="C2019" s="25" t="s">
        <v>224</v>
      </c>
      <c r="D2019" s="36" t="s">
        <v>21</v>
      </c>
      <c r="E2019" s="26">
        <f>0.064*0.3</f>
        <v>1.9199999999999998E-2</v>
      </c>
      <c r="F2019" s="27" t="s">
        <v>1262</v>
      </c>
      <c r="G2019" s="19">
        <v>14.772500000000001</v>
      </c>
      <c r="H2019" s="27" t="s">
        <v>226</v>
      </c>
      <c r="I2019" s="23">
        <f>IF(ISNUMBER(G2019),E2019*G2019,"")</f>
        <v>0.283632</v>
      </c>
      <c r="J2019" s="24"/>
      <c r="K2019" s="19"/>
      <c r="L2019" s="174">
        <v>0</v>
      </c>
    </row>
    <row r="2020" spans="1:12" ht="15.75" hidden="1" thickBot="1" x14ac:dyDescent="0.3">
      <c r="A2020" s="181"/>
      <c r="B2020" s="179"/>
      <c r="C2020" s="25" t="s">
        <v>70</v>
      </c>
      <c r="D2020" s="36" t="s">
        <v>21</v>
      </c>
      <c r="E2020" s="26">
        <f>0.064*0.3</f>
        <v>1.9199999999999998E-2</v>
      </c>
      <c r="F2020" s="27" t="s">
        <v>1262</v>
      </c>
      <c r="G2020" s="19">
        <v>18.743500000000001</v>
      </c>
      <c r="H2020" s="27" t="s">
        <v>71</v>
      </c>
      <c r="I2020" s="23">
        <f>IF(ISNUMBER(G2020),E2020*G2020,"")</f>
        <v>0.35987520000000001</v>
      </c>
      <c r="J2020" s="24"/>
      <c r="K2020" s="19"/>
      <c r="L2020" s="174">
        <v>0</v>
      </c>
    </row>
    <row r="2021" spans="1:12" ht="15.75" hidden="1" thickBot="1" x14ac:dyDescent="0.3">
      <c r="A2021" s="181"/>
      <c r="B2021" s="179"/>
      <c r="C2021" s="25"/>
      <c r="D2021" s="36"/>
      <c r="E2021" s="26"/>
      <c r="F2021" s="27"/>
      <c r="G2021" s="23" t="s">
        <v>1079</v>
      </c>
      <c r="H2021" s="27"/>
      <c r="I2021" s="23" t="str">
        <f>IF(ISNUMBER(G2021),E2021*G2021,"")</f>
        <v/>
      </c>
      <c r="J2021" s="24"/>
      <c r="K2021" s="19"/>
      <c r="L2021" s="174">
        <v>0</v>
      </c>
    </row>
    <row r="2022" spans="1:12" ht="39" hidden="1" thickBot="1" x14ac:dyDescent="0.3">
      <c r="A2022" s="181"/>
      <c r="B2022" s="179"/>
      <c r="C2022" s="44" t="s">
        <v>1263</v>
      </c>
      <c r="D2022" s="36"/>
      <c r="E2022" s="26"/>
      <c r="F2022" s="27"/>
      <c r="G2022" s="23" t="s">
        <v>1079</v>
      </c>
      <c r="H2022" s="27"/>
      <c r="I2022" s="23" t="str">
        <f>IF(ISNUMBER(G2022),E2022*G2022,"")</f>
        <v/>
      </c>
      <c r="J2022" s="24"/>
      <c r="K2022" s="19"/>
      <c r="L2022" s="174">
        <v>0</v>
      </c>
    </row>
    <row r="2023" spans="1:12" ht="15.75" hidden="1" thickBot="1" x14ac:dyDescent="0.3">
      <c r="A2023" s="182"/>
      <c r="B2023" s="183"/>
      <c r="C2023" s="25"/>
      <c r="D2023" s="25"/>
      <c r="E2023" s="26"/>
      <c r="F2023" s="27"/>
      <c r="G2023" s="19" t="s">
        <v>1079</v>
      </c>
      <c r="H2023" s="27"/>
      <c r="I2023" s="19" t="str">
        <f>IF(ISNUMBER(G2023),E2023*G2023,"")</f>
        <v/>
      </c>
      <c r="J2023" s="24"/>
      <c r="K2023" s="19"/>
      <c r="L2023" s="174">
        <v>0</v>
      </c>
    </row>
    <row r="2024" spans="1:12" ht="15.75" hidden="1" thickBot="1" x14ac:dyDescent="0.3">
      <c r="A2024" s="180" t="s">
        <v>1264</v>
      </c>
      <c r="B2024" s="178" t="str">
        <f>INDEX(Orçamentária!A:B,MATCH(Composições!A2024,Orçamentária!A:A,0),2)</f>
        <v>Isolamento elastomérico para tubulações de cobre de 1/2"</v>
      </c>
      <c r="C2024" s="30"/>
      <c r="D2024" s="13" t="str">
        <f>TRIM(INDEX(Orçamentária!C:C,MATCH(Composições!A2024,Orçamentária!A:A,0),1))</f>
        <v>m</v>
      </c>
      <c r="E2024" s="14"/>
      <c r="F2024" s="15" t="s">
        <v>1265</v>
      </c>
      <c r="G2024" s="31" t="s">
        <v>1079</v>
      </c>
      <c r="H2024" s="16"/>
      <c r="I2024" s="16" t="str">
        <f>IF(ISNUMBER(G2024),E2024*G2024,"")</f>
        <v/>
      </c>
      <c r="J2024" s="17"/>
      <c r="K2024" s="18"/>
      <c r="L2024" s="174">
        <v>0</v>
      </c>
    </row>
    <row r="2025" spans="1:12" ht="15.75" hidden="1" thickBot="1" x14ac:dyDescent="0.3">
      <c r="A2025" s="181"/>
      <c r="B2025" s="179"/>
      <c r="C2025" s="20"/>
      <c r="D2025" s="20"/>
      <c r="E2025" s="21"/>
      <c r="F2025" s="22"/>
      <c r="G2025" s="32" t="s">
        <v>1079</v>
      </c>
      <c r="H2025" s="20"/>
      <c r="I2025" s="19" t="str">
        <f>IF(ISNUMBER(G2025),E2025*G2025,"")</f>
        <v/>
      </c>
      <c r="J2025" s="24"/>
      <c r="K2025" s="19"/>
      <c r="L2025" s="174">
        <v>0</v>
      </c>
    </row>
    <row r="2026" spans="1:12" ht="39" hidden="1" thickBot="1" x14ac:dyDescent="0.3">
      <c r="A2026" s="181"/>
      <c r="B2026" s="179"/>
      <c r="C2026" s="25" t="s">
        <v>1266</v>
      </c>
      <c r="D2026" s="36" t="s">
        <v>184</v>
      </c>
      <c r="E2026" s="26">
        <v>1.0210999999999999</v>
      </c>
      <c r="F2026" s="27" t="s">
        <v>1267</v>
      </c>
      <c r="G2026" s="23">
        <v>11.87</v>
      </c>
      <c r="H2026" s="27" t="s">
        <v>33</v>
      </c>
      <c r="I2026" s="23">
        <f>IF(ISNUMBER(G2026),E2026*G2026,"")</f>
        <v>12.120456999999998</v>
      </c>
      <c r="J2026" s="28">
        <f>SUM(I2026:I2028)</f>
        <v>12.733799799999998</v>
      </c>
      <c r="K2026" s="29"/>
      <c r="L2026" s="174">
        <v>0</v>
      </c>
    </row>
    <row r="2027" spans="1:12" ht="26.25" hidden="1" thickBot="1" x14ac:dyDescent="0.3">
      <c r="A2027" s="181"/>
      <c r="B2027" s="179"/>
      <c r="C2027" s="25" t="s">
        <v>224</v>
      </c>
      <c r="D2027" s="36" t="s">
        <v>21</v>
      </c>
      <c r="E2027" s="26">
        <f>0.061*0.3</f>
        <v>1.83E-2</v>
      </c>
      <c r="F2027" s="27" t="s">
        <v>1267</v>
      </c>
      <c r="G2027" s="19">
        <v>14.772500000000001</v>
      </c>
      <c r="H2027" s="27" t="s">
        <v>226</v>
      </c>
      <c r="I2027" s="23">
        <f>IF(ISNUMBER(G2027),E2027*G2027,"")</f>
        <v>0.27033675000000001</v>
      </c>
      <c r="J2027" s="24"/>
      <c r="K2027" s="19"/>
      <c r="L2027" s="174">
        <v>0</v>
      </c>
    </row>
    <row r="2028" spans="1:12" ht="15.75" hidden="1" thickBot="1" x14ac:dyDescent="0.3">
      <c r="A2028" s="181"/>
      <c r="B2028" s="179"/>
      <c r="C2028" s="25" t="s">
        <v>70</v>
      </c>
      <c r="D2028" s="36" t="s">
        <v>21</v>
      </c>
      <c r="E2028" s="26">
        <f>0.061*0.3</f>
        <v>1.83E-2</v>
      </c>
      <c r="F2028" s="27" t="s">
        <v>1267</v>
      </c>
      <c r="G2028" s="19">
        <v>18.743500000000001</v>
      </c>
      <c r="H2028" s="27" t="s">
        <v>71</v>
      </c>
      <c r="I2028" s="23">
        <f>IF(ISNUMBER(G2028),E2028*G2028,"")</f>
        <v>0.34300605000000001</v>
      </c>
      <c r="J2028" s="24"/>
      <c r="K2028" s="19"/>
      <c r="L2028" s="174">
        <v>0</v>
      </c>
    </row>
    <row r="2029" spans="1:12" ht="15.75" hidden="1" thickBot="1" x14ac:dyDescent="0.3">
      <c r="A2029" s="181"/>
      <c r="B2029" s="179"/>
      <c r="C2029" s="25"/>
      <c r="D2029" s="36"/>
      <c r="E2029" s="26"/>
      <c r="F2029" s="27"/>
      <c r="G2029" s="23" t="s">
        <v>1079</v>
      </c>
      <c r="H2029" s="27"/>
      <c r="I2029" s="23" t="str">
        <f>IF(ISNUMBER(G2029),E2029*G2029,"")</f>
        <v/>
      </c>
      <c r="J2029" s="24"/>
      <c r="K2029" s="19"/>
      <c r="L2029" s="174">
        <v>0</v>
      </c>
    </row>
    <row r="2030" spans="1:12" ht="39" hidden="1" thickBot="1" x14ac:dyDescent="0.3">
      <c r="A2030" s="181"/>
      <c r="B2030" s="179"/>
      <c r="C2030" s="44" t="s">
        <v>1263</v>
      </c>
      <c r="D2030" s="36"/>
      <c r="E2030" s="26"/>
      <c r="F2030" s="27"/>
      <c r="G2030" s="23" t="s">
        <v>1079</v>
      </c>
      <c r="H2030" s="27"/>
      <c r="I2030" s="23" t="str">
        <f>IF(ISNUMBER(G2030),E2030*G2030,"")</f>
        <v/>
      </c>
      <c r="J2030" s="24"/>
      <c r="K2030" s="19"/>
      <c r="L2030" s="174">
        <v>0</v>
      </c>
    </row>
    <row r="2031" spans="1:12" ht="15.75" hidden="1" thickBot="1" x14ac:dyDescent="0.3">
      <c r="A2031" s="182"/>
      <c r="B2031" s="183"/>
      <c r="C2031" s="25"/>
      <c r="D2031" s="25"/>
      <c r="E2031" s="26"/>
      <c r="F2031" s="27"/>
      <c r="G2031" s="19" t="s">
        <v>1079</v>
      </c>
      <c r="H2031" s="27"/>
      <c r="I2031" s="19" t="str">
        <f>IF(ISNUMBER(G2031),E2031*G2031,"")</f>
        <v/>
      </c>
      <c r="J2031" s="24"/>
      <c r="K2031" s="19"/>
      <c r="L2031" s="174">
        <v>0</v>
      </c>
    </row>
    <row r="2032" spans="1:12" ht="15.75" hidden="1" thickBot="1" x14ac:dyDescent="0.3">
      <c r="A2032" s="180" t="s">
        <v>1268</v>
      </c>
      <c r="B2032" s="178" t="str">
        <f>INDEX(Orçamentária!A:B,MATCH(Composições!A2032,Orçamentária!A:A,0),2)</f>
        <v>Isolamento elastomérico para tubulações de cobre de 1/4"</v>
      </c>
      <c r="C2032" s="30"/>
      <c r="D2032" s="13" t="str">
        <f>TRIM(INDEX(Orçamentária!C:C,MATCH(Composições!A2032,Orçamentária!A:A,0),1))</f>
        <v>m</v>
      </c>
      <c r="E2032" s="14"/>
      <c r="F2032" s="15" t="s">
        <v>1269</v>
      </c>
      <c r="G2032" s="31" t="s">
        <v>1079</v>
      </c>
      <c r="H2032" s="16"/>
      <c r="I2032" s="16" t="str">
        <f>IF(ISNUMBER(G2032),E2032*G2032,"")</f>
        <v/>
      </c>
      <c r="J2032" s="17"/>
      <c r="K2032" s="18"/>
      <c r="L2032" s="174">
        <v>0</v>
      </c>
    </row>
    <row r="2033" spans="1:12" ht="15.75" hidden="1" thickBot="1" x14ac:dyDescent="0.3">
      <c r="A2033" s="181"/>
      <c r="B2033" s="179"/>
      <c r="C2033" s="20"/>
      <c r="D2033" s="20"/>
      <c r="E2033" s="21"/>
      <c r="F2033" s="22"/>
      <c r="G2033" s="32" t="s">
        <v>1079</v>
      </c>
      <c r="H2033" s="20"/>
      <c r="I2033" s="19" t="str">
        <f>IF(ISNUMBER(G2033),E2033*G2033,"")</f>
        <v/>
      </c>
      <c r="J2033" s="24"/>
      <c r="K2033" s="19"/>
      <c r="L2033" s="174">
        <v>0</v>
      </c>
    </row>
    <row r="2034" spans="1:12" ht="39" hidden="1" thickBot="1" x14ac:dyDescent="0.3">
      <c r="A2034" s="181"/>
      <c r="B2034" s="179"/>
      <c r="C2034" s="25" t="s">
        <v>1270</v>
      </c>
      <c r="D2034" s="36" t="s">
        <v>184</v>
      </c>
      <c r="E2034" s="26">
        <v>1.0210999999999999</v>
      </c>
      <c r="F2034" s="27" t="s">
        <v>1271</v>
      </c>
      <c r="G2034" s="23">
        <v>4.29</v>
      </c>
      <c r="H2034" s="27" t="s">
        <v>33</v>
      </c>
      <c r="I2034" s="23">
        <f>IF(ISNUMBER(G2034),E2034*G2034,"")</f>
        <v>4.3805189999999996</v>
      </c>
      <c r="J2034" s="28">
        <f>SUM(I2034:I2036)</f>
        <v>4.9033686000000003</v>
      </c>
      <c r="K2034" s="29"/>
      <c r="L2034" s="174">
        <v>0</v>
      </c>
    </row>
    <row r="2035" spans="1:12" ht="26.25" hidden="1" thickBot="1" x14ac:dyDescent="0.3">
      <c r="A2035" s="181"/>
      <c r="B2035" s="179"/>
      <c r="C2035" s="25" t="s">
        <v>224</v>
      </c>
      <c r="D2035" s="36" t="s">
        <v>21</v>
      </c>
      <c r="E2035" s="26">
        <f>0.052*0.3</f>
        <v>1.5599999999999999E-2</v>
      </c>
      <c r="F2035" s="27" t="s">
        <v>1271</v>
      </c>
      <c r="G2035" s="19">
        <v>14.772500000000001</v>
      </c>
      <c r="H2035" s="27" t="s">
        <v>226</v>
      </c>
      <c r="I2035" s="23">
        <f>IF(ISNUMBER(G2035),E2035*G2035,"")</f>
        <v>0.23045099999999999</v>
      </c>
      <c r="J2035" s="24"/>
      <c r="K2035" s="19"/>
      <c r="L2035" s="174">
        <v>0</v>
      </c>
    </row>
    <row r="2036" spans="1:12" ht="15.75" hidden="1" thickBot="1" x14ac:dyDescent="0.3">
      <c r="A2036" s="181"/>
      <c r="B2036" s="179"/>
      <c r="C2036" s="25" t="s">
        <v>70</v>
      </c>
      <c r="D2036" s="36" t="s">
        <v>21</v>
      </c>
      <c r="E2036" s="26">
        <f>0.052*0.3</f>
        <v>1.5599999999999999E-2</v>
      </c>
      <c r="F2036" s="27" t="s">
        <v>1271</v>
      </c>
      <c r="G2036" s="19">
        <v>18.743500000000001</v>
      </c>
      <c r="H2036" s="27" t="s">
        <v>71</v>
      </c>
      <c r="I2036" s="23">
        <f>IF(ISNUMBER(G2036),E2036*G2036,"")</f>
        <v>0.29239860000000001</v>
      </c>
      <c r="J2036" s="24"/>
      <c r="K2036" s="19"/>
      <c r="L2036" s="174">
        <v>0</v>
      </c>
    </row>
    <row r="2037" spans="1:12" ht="15.75" hidden="1" thickBot="1" x14ac:dyDescent="0.3">
      <c r="A2037" s="181"/>
      <c r="B2037" s="179"/>
      <c r="C2037" s="25"/>
      <c r="D2037" s="36"/>
      <c r="E2037" s="26"/>
      <c r="F2037" s="27"/>
      <c r="G2037" s="23" t="s">
        <v>1079</v>
      </c>
      <c r="H2037" s="27"/>
      <c r="I2037" s="23" t="str">
        <f>IF(ISNUMBER(G2037),E2037*G2037,"")</f>
        <v/>
      </c>
      <c r="J2037" s="24"/>
      <c r="K2037" s="19"/>
      <c r="L2037" s="174">
        <v>0</v>
      </c>
    </row>
    <row r="2038" spans="1:12" ht="39" hidden="1" thickBot="1" x14ac:dyDescent="0.3">
      <c r="A2038" s="181"/>
      <c r="B2038" s="179"/>
      <c r="C2038" s="44" t="s">
        <v>1263</v>
      </c>
      <c r="D2038" s="36"/>
      <c r="E2038" s="26"/>
      <c r="F2038" s="27"/>
      <c r="G2038" s="23" t="s">
        <v>1079</v>
      </c>
      <c r="H2038" s="27"/>
      <c r="I2038" s="23" t="str">
        <f>IF(ISNUMBER(G2038),E2038*G2038,"")</f>
        <v/>
      </c>
      <c r="J2038" s="24"/>
      <c r="K2038" s="19"/>
      <c r="L2038" s="174">
        <v>0</v>
      </c>
    </row>
    <row r="2039" spans="1:12" ht="15.75" hidden="1" thickBot="1" x14ac:dyDescent="0.3">
      <c r="A2039" s="182"/>
      <c r="B2039" s="183"/>
      <c r="C2039" s="25"/>
      <c r="D2039" s="25"/>
      <c r="E2039" s="26"/>
      <c r="F2039" s="27"/>
      <c r="G2039" s="19" t="s">
        <v>1079</v>
      </c>
      <c r="H2039" s="27"/>
      <c r="I2039" s="19" t="str">
        <f>IF(ISNUMBER(G2039),E2039*G2039,"")</f>
        <v/>
      </c>
      <c r="J2039" s="24"/>
      <c r="K2039" s="19"/>
      <c r="L2039" s="174">
        <v>0</v>
      </c>
    </row>
    <row r="2040" spans="1:12" ht="15.75" hidden="1" thickBot="1" x14ac:dyDescent="0.3">
      <c r="A2040" s="180" t="s">
        <v>1272</v>
      </c>
      <c r="B2040" s="178" t="str">
        <f>INDEX(Orçamentária!A:B,MATCH(Composições!A2040,Orçamentária!A:A,0),2)</f>
        <v>Isolamento elastomérico para tubulações de cobre de 3/4"</v>
      </c>
      <c r="C2040" s="30"/>
      <c r="D2040" s="13" t="str">
        <f>TRIM(INDEX(Orçamentária!C:C,MATCH(Composições!A2040,Orçamentária!A:A,0),1))</f>
        <v>m</v>
      </c>
      <c r="E2040" s="14"/>
      <c r="F2040" s="15" t="s">
        <v>1260</v>
      </c>
      <c r="G2040" s="31" t="s">
        <v>1079</v>
      </c>
      <c r="H2040" s="16"/>
      <c r="I2040" s="16" t="str">
        <f>IF(ISNUMBER(G2040),E2040*G2040,"")</f>
        <v/>
      </c>
      <c r="J2040" s="17"/>
      <c r="K2040" s="18"/>
      <c r="L2040" s="174">
        <v>0</v>
      </c>
    </row>
    <row r="2041" spans="1:12" ht="15.75" hidden="1" thickBot="1" x14ac:dyDescent="0.3">
      <c r="A2041" s="181"/>
      <c r="B2041" s="179"/>
      <c r="C2041" s="20"/>
      <c r="D2041" s="20"/>
      <c r="E2041" s="21"/>
      <c r="F2041" s="22"/>
      <c r="G2041" s="32" t="s">
        <v>1079</v>
      </c>
      <c r="H2041" s="20"/>
      <c r="I2041" s="19" t="str">
        <f>IF(ISNUMBER(G2041),E2041*G2041,"")</f>
        <v/>
      </c>
      <c r="J2041" s="24"/>
      <c r="K2041" s="19"/>
      <c r="L2041" s="174">
        <v>0</v>
      </c>
    </row>
    <row r="2042" spans="1:12" ht="39" hidden="1" thickBot="1" x14ac:dyDescent="0.3">
      <c r="A2042" s="181"/>
      <c r="B2042" s="179"/>
      <c r="C2042" s="25" t="s">
        <v>1273</v>
      </c>
      <c r="D2042" s="36" t="s">
        <v>184</v>
      </c>
      <c r="E2042" s="26">
        <v>1.0210999999999999</v>
      </c>
      <c r="F2042" s="27" t="s">
        <v>1262</v>
      </c>
      <c r="G2042" s="23">
        <v>58.6</v>
      </c>
      <c r="H2042" s="27" t="s">
        <v>33</v>
      </c>
      <c r="I2042" s="23">
        <f>IF(ISNUMBER(G2042),E2042*G2042,"")</f>
        <v>59.836459999999995</v>
      </c>
      <c r="J2042" s="28">
        <f>SUM(I2042:I2044)</f>
        <v>60.47996719999999</v>
      </c>
      <c r="K2042" s="29"/>
      <c r="L2042" s="174">
        <v>0</v>
      </c>
    </row>
    <row r="2043" spans="1:12" ht="26.25" hidden="1" thickBot="1" x14ac:dyDescent="0.3">
      <c r="A2043" s="181"/>
      <c r="B2043" s="179"/>
      <c r="C2043" s="25" t="s">
        <v>224</v>
      </c>
      <c r="D2043" s="36" t="s">
        <v>21</v>
      </c>
      <c r="E2043" s="26">
        <f>0.064*0.3</f>
        <v>1.9199999999999998E-2</v>
      </c>
      <c r="F2043" s="27" t="s">
        <v>1262</v>
      </c>
      <c r="G2043" s="19">
        <v>14.772500000000001</v>
      </c>
      <c r="H2043" s="27" t="s">
        <v>226</v>
      </c>
      <c r="I2043" s="23">
        <f>IF(ISNUMBER(G2043),E2043*G2043,"")</f>
        <v>0.283632</v>
      </c>
      <c r="J2043" s="24"/>
      <c r="K2043" s="19"/>
      <c r="L2043" s="174">
        <v>0</v>
      </c>
    </row>
    <row r="2044" spans="1:12" ht="15.75" hidden="1" thickBot="1" x14ac:dyDescent="0.3">
      <c r="A2044" s="181"/>
      <c r="B2044" s="179"/>
      <c r="C2044" s="25" t="s">
        <v>70</v>
      </c>
      <c r="D2044" s="36" t="s">
        <v>21</v>
      </c>
      <c r="E2044" s="26">
        <f>0.064*0.3</f>
        <v>1.9199999999999998E-2</v>
      </c>
      <c r="F2044" s="27" t="s">
        <v>1262</v>
      </c>
      <c r="G2044" s="19">
        <v>18.743500000000001</v>
      </c>
      <c r="H2044" s="27" t="s">
        <v>71</v>
      </c>
      <c r="I2044" s="23">
        <f>IF(ISNUMBER(G2044),E2044*G2044,"")</f>
        <v>0.35987520000000001</v>
      </c>
      <c r="J2044" s="24"/>
      <c r="K2044" s="19"/>
      <c r="L2044" s="174">
        <v>0</v>
      </c>
    </row>
    <row r="2045" spans="1:12" ht="15.75" hidden="1" thickBot="1" x14ac:dyDescent="0.3">
      <c r="A2045" s="181"/>
      <c r="B2045" s="179"/>
      <c r="C2045" s="25"/>
      <c r="D2045" s="36"/>
      <c r="E2045" s="26"/>
      <c r="F2045" s="27"/>
      <c r="G2045" s="23" t="s">
        <v>1079</v>
      </c>
      <c r="H2045" s="27"/>
      <c r="I2045" s="23" t="str">
        <f>IF(ISNUMBER(G2045),E2045*G2045,"")</f>
        <v/>
      </c>
      <c r="J2045" s="24"/>
      <c r="K2045" s="19"/>
      <c r="L2045" s="174">
        <v>0</v>
      </c>
    </row>
    <row r="2046" spans="1:12" ht="39" hidden="1" thickBot="1" x14ac:dyDescent="0.3">
      <c r="A2046" s="181"/>
      <c r="B2046" s="179"/>
      <c r="C2046" s="44" t="s">
        <v>1263</v>
      </c>
      <c r="D2046" s="36"/>
      <c r="E2046" s="26"/>
      <c r="F2046" s="27"/>
      <c r="G2046" s="23" t="s">
        <v>1079</v>
      </c>
      <c r="H2046" s="27"/>
      <c r="I2046" s="23" t="str">
        <f>IF(ISNUMBER(G2046),E2046*G2046,"")</f>
        <v/>
      </c>
      <c r="J2046" s="24"/>
      <c r="K2046" s="19"/>
      <c r="L2046" s="174">
        <v>0</v>
      </c>
    </row>
    <row r="2047" spans="1:12" ht="15.75" hidden="1" thickBot="1" x14ac:dyDescent="0.3">
      <c r="A2047" s="182"/>
      <c r="B2047" s="183"/>
      <c r="C2047" s="25"/>
      <c r="D2047" s="25"/>
      <c r="E2047" s="26"/>
      <c r="F2047" s="27"/>
      <c r="G2047" s="19" t="s">
        <v>1079</v>
      </c>
      <c r="H2047" s="27"/>
      <c r="I2047" s="19" t="str">
        <f>IF(ISNUMBER(G2047),E2047*G2047,"")</f>
        <v/>
      </c>
      <c r="J2047" s="24"/>
      <c r="K2047" s="19"/>
      <c r="L2047" s="174">
        <v>0</v>
      </c>
    </row>
    <row r="2048" spans="1:12" ht="15.75" hidden="1" thickBot="1" x14ac:dyDescent="0.3">
      <c r="A2048" s="180" t="s">
        <v>1274</v>
      </c>
      <c r="B2048" s="178" t="str">
        <f>INDEX(Orçamentária!A:B,MATCH(Composições!A2048,Orçamentária!A:A,0),2)</f>
        <v>Isolamento elastomérico para tubulações de cobre de 3/8"</v>
      </c>
      <c r="C2048" s="30"/>
      <c r="D2048" s="13" t="str">
        <f>TRIM(INDEX(Orçamentária!C:C,MATCH(Composições!A2048,Orçamentária!A:A,0),1))</f>
        <v>m</v>
      </c>
      <c r="E2048" s="14"/>
      <c r="F2048" s="15" t="s">
        <v>1275</v>
      </c>
      <c r="G2048" s="31" t="s">
        <v>1079</v>
      </c>
      <c r="H2048" s="16"/>
      <c r="I2048" s="16" t="str">
        <f>IF(ISNUMBER(G2048),E2048*G2048,"")</f>
        <v/>
      </c>
      <c r="J2048" s="17"/>
      <c r="K2048" s="18"/>
      <c r="L2048" s="174">
        <v>0</v>
      </c>
    </row>
    <row r="2049" spans="1:12" ht="15.75" hidden="1" thickBot="1" x14ac:dyDescent="0.3">
      <c r="A2049" s="181"/>
      <c r="B2049" s="179"/>
      <c r="C2049" s="20"/>
      <c r="D2049" s="20"/>
      <c r="E2049" s="21"/>
      <c r="F2049" s="22"/>
      <c r="G2049" s="32" t="s">
        <v>1079</v>
      </c>
      <c r="H2049" s="20"/>
      <c r="I2049" s="19" t="str">
        <f>IF(ISNUMBER(G2049),E2049*G2049,"")</f>
        <v/>
      </c>
      <c r="J2049" s="24"/>
      <c r="K2049" s="19"/>
      <c r="L2049" s="174">
        <v>0</v>
      </c>
    </row>
    <row r="2050" spans="1:12" ht="39" hidden="1" thickBot="1" x14ac:dyDescent="0.3">
      <c r="A2050" s="181"/>
      <c r="B2050" s="179"/>
      <c r="C2050" s="25" t="s">
        <v>1276</v>
      </c>
      <c r="D2050" s="36" t="s">
        <v>184</v>
      </c>
      <c r="E2050" s="26">
        <v>1.0210999999999999</v>
      </c>
      <c r="F2050" s="27" t="s">
        <v>1277</v>
      </c>
      <c r="G2050" s="23">
        <v>10.8</v>
      </c>
      <c r="H2050" s="27" t="s">
        <v>33</v>
      </c>
      <c r="I2050" s="23">
        <f>IF(ISNUMBER(G2050),E2050*G2050,"")</f>
        <v>11.02788</v>
      </c>
      <c r="J2050" s="28">
        <f>SUM(I2050:I2052)</f>
        <v>11.601003599999999</v>
      </c>
      <c r="K2050" s="29"/>
      <c r="L2050" s="174">
        <v>0</v>
      </c>
    </row>
    <row r="2051" spans="1:12" ht="26.25" hidden="1" thickBot="1" x14ac:dyDescent="0.3">
      <c r="A2051" s="181"/>
      <c r="B2051" s="179"/>
      <c r="C2051" s="25" t="s">
        <v>224</v>
      </c>
      <c r="D2051" s="36" t="s">
        <v>21</v>
      </c>
      <c r="E2051" s="26">
        <f>0.057*0.3</f>
        <v>1.7100000000000001E-2</v>
      </c>
      <c r="F2051" s="27" t="s">
        <v>1277</v>
      </c>
      <c r="G2051" s="19">
        <v>14.772500000000001</v>
      </c>
      <c r="H2051" s="27" t="s">
        <v>226</v>
      </c>
      <c r="I2051" s="23">
        <f>IF(ISNUMBER(G2051),E2051*G2051,"")</f>
        <v>0.25260975000000002</v>
      </c>
      <c r="J2051" s="24"/>
      <c r="K2051" s="19"/>
      <c r="L2051" s="174">
        <v>0</v>
      </c>
    </row>
    <row r="2052" spans="1:12" ht="15.75" hidden="1" thickBot="1" x14ac:dyDescent="0.3">
      <c r="A2052" s="181"/>
      <c r="B2052" s="179"/>
      <c r="C2052" s="25" t="s">
        <v>70</v>
      </c>
      <c r="D2052" s="36" t="s">
        <v>21</v>
      </c>
      <c r="E2052" s="26">
        <f>0.057*0.3</f>
        <v>1.7100000000000001E-2</v>
      </c>
      <c r="F2052" s="27" t="s">
        <v>1277</v>
      </c>
      <c r="G2052" s="19">
        <v>18.743500000000001</v>
      </c>
      <c r="H2052" s="27" t="s">
        <v>71</v>
      </c>
      <c r="I2052" s="23">
        <f>IF(ISNUMBER(G2052),E2052*G2052,"")</f>
        <v>0.32051385000000004</v>
      </c>
      <c r="J2052" s="24"/>
      <c r="K2052" s="19"/>
      <c r="L2052" s="174">
        <v>0</v>
      </c>
    </row>
    <row r="2053" spans="1:12" ht="15.75" hidden="1" thickBot="1" x14ac:dyDescent="0.3">
      <c r="A2053" s="181"/>
      <c r="B2053" s="179"/>
      <c r="C2053" s="25"/>
      <c r="D2053" s="36"/>
      <c r="E2053" s="26"/>
      <c r="F2053" s="27"/>
      <c r="G2053" s="23" t="s">
        <v>1079</v>
      </c>
      <c r="H2053" s="27"/>
      <c r="I2053" s="23" t="str">
        <f>IF(ISNUMBER(G2053),E2053*G2053,"")</f>
        <v/>
      </c>
      <c r="J2053" s="24"/>
      <c r="K2053" s="19"/>
      <c r="L2053" s="174">
        <v>0</v>
      </c>
    </row>
    <row r="2054" spans="1:12" ht="39" hidden="1" thickBot="1" x14ac:dyDescent="0.3">
      <c r="A2054" s="181"/>
      <c r="B2054" s="179"/>
      <c r="C2054" s="44" t="s">
        <v>1263</v>
      </c>
      <c r="D2054" s="36"/>
      <c r="E2054" s="26"/>
      <c r="F2054" s="27"/>
      <c r="G2054" s="23" t="s">
        <v>1079</v>
      </c>
      <c r="H2054" s="27"/>
      <c r="I2054" s="23" t="str">
        <f>IF(ISNUMBER(G2054),E2054*G2054,"")</f>
        <v/>
      </c>
      <c r="J2054" s="24"/>
      <c r="K2054" s="19"/>
      <c r="L2054" s="174">
        <v>0</v>
      </c>
    </row>
    <row r="2055" spans="1:12" ht="15.75" hidden="1" thickBot="1" x14ac:dyDescent="0.3">
      <c r="A2055" s="182"/>
      <c r="B2055" s="183"/>
      <c r="C2055" s="25"/>
      <c r="D2055" s="25"/>
      <c r="E2055" s="26"/>
      <c r="F2055" s="27"/>
      <c r="G2055" s="19" t="s">
        <v>1079</v>
      </c>
      <c r="H2055" s="27"/>
      <c r="I2055" s="19" t="str">
        <f>IF(ISNUMBER(G2055),E2055*G2055,"")</f>
        <v/>
      </c>
      <c r="J2055" s="24"/>
      <c r="K2055" s="19"/>
      <c r="L2055" s="174">
        <v>0</v>
      </c>
    </row>
    <row r="2056" spans="1:12" ht="15.75" hidden="1" thickBot="1" x14ac:dyDescent="0.3">
      <c r="A2056" s="180" t="s">
        <v>1278</v>
      </c>
      <c r="B2056" s="178" t="str">
        <f>INDEX(Orçamentária!A:B,MATCH(Composições!A2056,Orçamentária!A:A,0),2)</f>
        <v>Isolamento elastomérico para tubulações de cobre de 5/8"</v>
      </c>
      <c r="C2056" s="30"/>
      <c r="D2056" s="13" t="str">
        <f>TRIM(INDEX(Orçamentária!C:C,MATCH(Composições!A2056,Orçamentária!A:A,0),1))</f>
        <v>m</v>
      </c>
      <c r="E2056" s="14"/>
      <c r="F2056" s="15" t="s">
        <v>1260</v>
      </c>
      <c r="G2056" s="31" t="s">
        <v>1079</v>
      </c>
      <c r="H2056" s="16"/>
      <c r="I2056" s="16" t="str">
        <f>IF(ISNUMBER(G2056),E2056*G2056,"")</f>
        <v/>
      </c>
      <c r="J2056" s="17"/>
      <c r="K2056" s="18"/>
      <c r="L2056" s="174">
        <v>0</v>
      </c>
    </row>
    <row r="2057" spans="1:12" ht="15.75" hidden="1" thickBot="1" x14ac:dyDescent="0.3">
      <c r="A2057" s="181"/>
      <c r="B2057" s="179"/>
      <c r="C2057" s="20"/>
      <c r="D2057" s="20"/>
      <c r="E2057" s="21"/>
      <c r="F2057" s="22"/>
      <c r="G2057" s="32" t="s">
        <v>1079</v>
      </c>
      <c r="H2057" s="20"/>
      <c r="I2057" s="19" t="str">
        <f>IF(ISNUMBER(G2057),E2057*G2057,"")</f>
        <v/>
      </c>
      <c r="J2057" s="24"/>
      <c r="K2057" s="19"/>
      <c r="L2057" s="174">
        <v>0</v>
      </c>
    </row>
    <row r="2058" spans="1:12" ht="39" hidden="1" thickBot="1" x14ac:dyDescent="0.3">
      <c r="A2058" s="181"/>
      <c r="B2058" s="179"/>
      <c r="C2058" s="25" t="s">
        <v>1279</v>
      </c>
      <c r="D2058" s="36" t="s">
        <v>184</v>
      </c>
      <c r="E2058" s="26">
        <v>1.0210999999999999</v>
      </c>
      <c r="F2058" s="27" t="s">
        <v>1262</v>
      </c>
      <c r="G2058" s="23">
        <v>14.18</v>
      </c>
      <c r="H2058" s="27" t="s">
        <v>33</v>
      </c>
      <c r="I2058" s="23">
        <f>IF(ISNUMBER(G2058),E2058*G2058,"")</f>
        <v>14.479197999999998</v>
      </c>
      <c r="J2058" s="28">
        <f>SUM(I2058:I2060)</f>
        <v>15.122705199999999</v>
      </c>
      <c r="K2058" s="29"/>
      <c r="L2058" s="174">
        <v>0</v>
      </c>
    </row>
    <row r="2059" spans="1:12" ht="26.25" hidden="1" thickBot="1" x14ac:dyDescent="0.3">
      <c r="A2059" s="181"/>
      <c r="B2059" s="179"/>
      <c r="C2059" s="25" t="s">
        <v>224</v>
      </c>
      <c r="D2059" s="36" t="s">
        <v>21</v>
      </c>
      <c r="E2059" s="26">
        <f>0.064*0.3</f>
        <v>1.9199999999999998E-2</v>
      </c>
      <c r="F2059" s="27" t="s">
        <v>1262</v>
      </c>
      <c r="G2059" s="19">
        <v>14.772500000000001</v>
      </c>
      <c r="H2059" s="27" t="s">
        <v>226</v>
      </c>
      <c r="I2059" s="23">
        <f>IF(ISNUMBER(G2059),E2059*G2059,"")</f>
        <v>0.283632</v>
      </c>
      <c r="J2059" s="24"/>
      <c r="K2059" s="19"/>
      <c r="L2059" s="174">
        <v>0</v>
      </c>
    </row>
    <row r="2060" spans="1:12" ht="15.75" hidden="1" thickBot="1" x14ac:dyDescent="0.3">
      <c r="A2060" s="181"/>
      <c r="B2060" s="179"/>
      <c r="C2060" s="25" t="s">
        <v>70</v>
      </c>
      <c r="D2060" s="36" t="s">
        <v>21</v>
      </c>
      <c r="E2060" s="26">
        <f>0.064*0.3</f>
        <v>1.9199999999999998E-2</v>
      </c>
      <c r="F2060" s="27" t="s">
        <v>1262</v>
      </c>
      <c r="G2060" s="19">
        <v>18.743500000000001</v>
      </c>
      <c r="H2060" s="27" t="s">
        <v>71</v>
      </c>
      <c r="I2060" s="23">
        <f>IF(ISNUMBER(G2060),E2060*G2060,"")</f>
        <v>0.35987520000000001</v>
      </c>
      <c r="J2060" s="24"/>
      <c r="K2060" s="19"/>
      <c r="L2060" s="174">
        <v>0</v>
      </c>
    </row>
    <row r="2061" spans="1:12" ht="15.75" hidden="1" thickBot="1" x14ac:dyDescent="0.3">
      <c r="A2061" s="181"/>
      <c r="B2061" s="179"/>
      <c r="C2061" s="25"/>
      <c r="D2061" s="36"/>
      <c r="E2061" s="26"/>
      <c r="F2061" s="27"/>
      <c r="G2061" s="23" t="s">
        <v>1079</v>
      </c>
      <c r="H2061" s="27"/>
      <c r="I2061" s="23" t="str">
        <f>IF(ISNUMBER(G2061),E2061*G2061,"")</f>
        <v/>
      </c>
      <c r="J2061" s="24"/>
      <c r="K2061" s="19"/>
      <c r="L2061" s="174">
        <v>0</v>
      </c>
    </row>
    <row r="2062" spans="1:12" ht="39" hidden="1" thickBot="1" x14ac:dyDescent="0.3">
      <c r="A2062" s="181"/>
      <c r="B2062" s="179"/>
      <c r="C2062" s="44" t="s">
        <v>1263</v>
      </c>
      <c r="D2062" s="36"/>
      <c r="E2062" s="26"/>
      <c r="F2062" s="27"/>
      <c r="G2062" s="23" t="s">
        <v>1079</v>
      </c>
      <c r="H2062" s="27"/>
      <c r="I2062" s="23" t="str">
        <f>IF(ISNUMBER(G2062),E2062*G2062,"")</f>
        <v/>
      </c>
      <c r="J2062" s="24"/>
      <c r="K2062" s="19"/>
      <c r="L2062" s="174">
        <v>0</v>
      </c>
    </row>
    <row r="2063" spans="1:12" ht="15.75" hidden="1" thickBot="1" x14ac:dyDescent="0.3">
      <c r="A2063" s="182"/>
      <c r="B2063" s="183"/>
      <c r="C2063" s="25"/>
      <c r="D2063" s="25"/>
      <c r="E2063" s="26"/>
      <c r="F2063" s="27"/>
      <c r="G2063" s="19" t="s">
        <v>1079</v>
      </c>
      <c r="H2063" s="27"/>
      <c r="I2063" s="19" t="str">
        <f>IF(ISNUMBER(G2063),E2063*G2063,"")</f>
        <v/>
      </c>
      <c r="J2063" s="24"/>
      <c r="K2063" s="19"/>
      <c r="L2063" s="174">
        <v>0</v>
      </c>
    </row>
    <row r="2064" spans="1:12" ht="15.75" hidden="1" thickBot="1" x14ac:dyDescent="0.3">
      <c r="A2064" s="180" t="s">
        <v>1280</v>
      </c>
      <c r="B2064" s="178" t="str">
        <f>INDEX(Orçamentária!A:B,MATCH(Composições!A2064,Orçamentária!A:A,0),2)</f>
        <v>Isolamento elastomérico para tubulações de cobre de 7/8" / tubulações de ferro de 1/2"</v>
      </c>
      <c r="C2064" s="30"/>
      <c r="D2064" s="13" t="str">
        <f>TRIM(INDEX(Orçamentária!C:C,MATCH(Composições!A2064,Orçamentária!A:A,0),1))</f>
        <v>m</v>
      </c>
      <c r="E2064" s="14"/>
      <c r="F2064" s="15" t="s">
        <v>1260</v>
      </c>
      <c r="G2064" s="31" t="s">
        <v>1079</v>
      </c>
      <c r="H2064" s="16"/>
      <c r="I2064" s="16" t="str">
        <f>IF(ISNUMBER(G2064),E2064*G2064,"")</f>
        <v/>
      </c>
      <c r="J2064" s="17"/>
      <c r="K2064" s="18"/>
      <c r="L2064" s="174">
        <v>0</v>
      </c>
    </row>
    <row r="2065" spans="1:12" ht="15.75" hidden="1" thickBot="1" x14ac:dyDescent="0.3">
      <c r="A2065" s="181"/>
      <c r="B2065" s="179"/>
      <c r="C2065" s="20"/>
      <c r="D2065" s="20"/>
      <c r="E2065" s="21"/>
      <c r="F2065" s="22"/>
      <c r="G2065" s="32" t="s">
        <v>1079</v>
      </c>
      <c r="H2065" s="20"/>
      <c r="I2065" s="19" t="str">
        <f>IF(ISNUMBER(G2065),E2065*G2065,"")</f>
        <v/>
      </c>
      <c r="J2065" s="24"/>
      <c r="K2065" s="19"/>
      <c r="L2065" s="174">
        <v>0</v>
      </c>
    </row>
    <row r="2066" spans="1:12" ht="39" hidden="1" thickBot="1" x14ac:dyDescent="0.3">
      <c r="A2066" s="181"/>
      <c r="B2066" s="179"/>
      <c r="C2066" s="25" t="s">
        <v>1281</v>
      </c>
      <c r="D2066" s="36" t="s">
        <v>184</v>
      </c>
      <c r="E2066" s="26">
        <v>1.0210999999999999</v>
      </c>
      <c r="F2066" s="27" t="s">
        <v>1262</v>
      </c>
      <c r="G2066" s="23">
        <v>47.1</v>
      </c>
      <c r="H2066" s="27" t="s">
        <v>33</v>
      </c>
      <c r="I2066" s="23">
        <f>IF(ISNUMBER(G2066),E2066*G2066,"")</f>
        <v>48.093809999999998</v>
      </c>
      <c r="J2066" s="28">
        <f>SUM(I2066:I2068)</f>
        <v>48.737317199999993</v>
      </c>
      <c r="K2066" s="29"/>
      <c r="L2066" s="174">
        <v>0</v>
      </c>
    </row>
    <row r="2067" spans="1:12" ht="26.25" hidden="1" thickBot="1" x14ac:dyDescent="0.3">
      <c r="A2067" s="181"/>
      <c r="B2067" s="179"/>
      <c r="C2067" s="25" t="s">
        <v>224</v>
      </c>
      <c r="D2067" s="36" t="s">
        <v>21</v>
      </c>
      <c r="E2067" s="26">
        <f>0.064*0.3</f>
        <v>1.9199999999999998E-2</v>
      </c>
      <c r="F2067" s="27" t="s">
        <v>1262</v>
      </c>
      <c r="G2067" s="19">
        <v>14.772500000000001</v>
      </c>
      <c r="H2067" s="27" t="s">
        <v>226</v>
      </c>
      <c r="I2067" s="23">
        <f>IF(ISNUMBER(G2067),E2067*G2067,"")</f>
        <v>0.283632</v>
      </c>
      <c r="J2067" s="24"/>
      <c r="K2067" s="19"/>
      <c r="L2067" s="174">
        <v>0</v>
      </c>
    </row>
    <row r="2068" spans="1:12" ht="15.75" hidden="1" thickBot="1" x14ac:dyDescent="0.3">
      <c r="A2068" s="181"/>
      <c r="B2068" s="179"/>
      <c r="C2068" s="25" t="s">
        <v>70</v>
      </c>
      <c r="D2068" s="36" t="s">
        <v>21</v>
      </c>
      <c r="E2068" s="26">
        <f>0.064*0.3</f>
        <v>1.9199999999999998E-2</v>
      </c>
      <c r="F2068" s="27" t="s">
        <v>1262</v>
      </c>
      <c r="G2068" s="19">
        <v>18.743500000000001</v>
      </c>
      <c r="H2068" s="27" t="s">
        <v>71</v>
      </c>
      <c r="I2068" s="23">
        <f>IF(ISNUMBER(G2068),E2068*G2068,"")</f>
        <v>0.35987520000000001</v>
      </c>
      <c r="J2068" s="24"/>
      <c r="K2068" s="19"/>
      <c r="L2068" s="174">
        <v>0</v>
      </c>
    </row>
    <row r="2069" spans="1:12" ht="15.75" hidden="1" thickBot="1" x14ac:dyDescent="0.3">
      <c r="A2069" s="181"/>
      <c r="B2069" s="179"/>
      <c r="C2069" s="25"/>
      <c r="D2069" s="36"/>
      <c r="E2069" s="26"/>
      <c r="F2069" s="27"/>
      <c r="G2069" s="23" t="s">
        <v>1079</v>
      </c>
      <c r="H2069" s="27"/>
      <c r="I2069" s="23" t="str">
        <f>IF(ISNUMBER(G2069),E2069*G2069,"")</f>
        <v/>
      </c>
      <c r="J2069" s="24"/>
      <c r="K2069" s="19"/>
      <c r="L2069" s="174">
        <v>0</v>
      </c>
    </row>
    <row r="2070" spans="1:12" ht="39" hidden="1" thickBot="1" x14ac:dyDescent="0.3">
      <c r="A2070" s="181"/>
      <c r="B2070" s="179"/>
      <c r="C2070" s="44" t="s">
        <v>1263</v>
      </c>
      <c r="D2070" s="36"/>
      <c r="E2070" s="26"/>
      <c r="F2070" s="27"/>
      <c r="G2070" s="23" t="s">
        <v>1079</v>
      </c>
      <c r="H2070" s="27"/>
      <c r="I2070" s="23" t="str">
        <f>IF(ISNUMBER(G2070),E2070*G2070,"")</f>
        <v/>
      </c>
      <c r="J2070" s="24"/>
      <c r="K2070" s="19"/>
      <c r="L2070" s="174">
        <v>0</v>
      </c>
    </row>
    <row r="2071" spans="1:12" ht="15.75" hidden="1" thickBot="1" x14ac:dyDescent="0.3">
      <c r="A2071" s="182"/>
      <c r="B2071" s="183"/>
      <c r="C2071" s="25"/>
      <c r="D2071" s="25"/>
      <c r="E2071" s="26"/>
      <c r="F2071" s="27"/>
      <c r="G2071" s="19" t="s">
        <v>1079</v>
      </c>
      <c r="H2071" s="27"/>
      <c r="I2071" s="19" t="str">
        <f>IF(ISNUMBER(G2071),E2071*G2071,"")</f>
        <v/>
      </c>
      <c r="J2071" s="24"/>
      <c r="K2071" s="19"/>
      <c r="L2071" s="174">
        <v>0</v>
      </c>
    </row>
    <row r="2072" spans="1:12" ht="15.75" hidden="1" thickBot="1" x14ac:dyDescent="0.3">
      <c r="A2072" s="180" t="s">
        <v>1282</v>
      </c>
      <c r="B2072" s="178" t="str">
        <f>INDEX(Orçamentária!A:B,MATCH(Composições!A2072,Orçamentária!A:A,0),2)</f>
        <v>Isolamento elastomérico para tubulações de cobre de 1"</v>
      </c>
      <c r="C2072" s="30"/>
      <c r="D2072" s="13" t="str">
        <f>TRIM(INDEX(Orçamentária!C:C,MATCH(Composições!A2072,Orçamentária!A:A,0),1))</f>
        <v>m</v>
      </c>
      <c r="E2072" s="14"/>
      <c r="F2072" s="15" t="s">
        <v>1260</v>
      </c>
      <c r="G2072" s="31" t="s">
        <v>1079</v>
      </c>
      <c r="H2072" s="16"/>
      <c r="I2072" s="16" t="str">
        <f>IF(ISNUMBER(G2072),E2072*G2072,"")</f>
        <v/>
      </c>
      <c r="J2072" s="17"/>
      <c r="K2072" s="18"/>
      <c r="L2072" s="174">
        <v>0</v>
      </c>
    </row>
    <row r="2073" spans="1:12" ht="15.75" hidden="1" thickBot="1" x14ac:dyDescent="0.3">
      <c r="A2073" s="181"/>
      <c r="B2073" s="179"/>
      <c r="C2073" s="20"/>
      <c r="D2073" s="20"/>
      <c r="E2073" s="21"/>
      <c r="F2073" s="22"/>
      <c r="G2073" s="32" t="s">
        <v>1079</v>
      </c>
      <c r="H2073" s="20"/>
      <c r="I2073" s="19" t="str">
        <f>IF(ISNUMBER(G2073),E2073*G2073,"")</f>
        <v/>
      </c>
      <c r="J2073" s="24"/>
      <c r="K2073" s="19"/>
      <c r="L2073" s="174">
        <v>0</v>
      </c>
    </row>
    <row r="2074" spans="1:12" ht="39" hidden="1" thickBot="1" x14ac:dyDescent="0.3">
      <c r="A2074" s="181"/>
      <c r="B2074" s="179"/>
      <c r="C2074" s="25" t="s">
        <v>1283</v>
      </c>
      <c r="D2074" s="36" t="s">
        <v>184</v>
      </c>
      <c r="E2074" s="26">
        <v>1.0210999999999999</v>
      </c>
      <c r="F2074" s="27" t="s">
        <v>1262</v>
      </c>
      <c r="G2074" s="23" t="s">
        <v>1079</v>
      </c>
      <c r="H2074" s="27" t="s">
        <v>33</v>
      </c>
      <c r="I2074" s="23" t="str">
        <f>IF(ISNUMBER(G2074),E2074*G2074,"")</f>
        <v/>
      </c>
      <c r="J2074" s="28">
        <f>SUM(I2074:I2076)</f>
        <v>0.64350719999999995</v>
      </c>
      <c r="K2074" s="29"/>
      <c r="L2074" s="174">
        <v>0</v>
      </c>
    </row>
    <row r="2075" spans="1:12" ht="26.25" hidden="1" thickBot="1" x14ac:dyDescent="0.3">
      <c r="A2075" s="181"/>
      <c r="B2075" s="179"/>
      <c r="C2075" s="25" t="s">
        <v>224</v>
      </c>
      <c r="D2075" s="36" t="s">
        <v>21</v>
      </c>
      <c r="E2075" s="26">
        <f>0.064*0.3</f>
        <v>1.9199999999999998E-2</v>
      </c>
      <c r="F2075" s="27" t="s">
        <v>1262</v>
      </c>
      <c r="G2075" s="19">
        <v>14.772500000000001</v>
      </c>
      <c r="H2075" s="27" t="s">
        <v>226</v>
      </c>
      <c r="I2075" s="23">
        <f>IF(ISNUMBER(G2075),E2075*G2075,"")</f>
        <v>0.283632</v>
      </c>
      <c r="J2075" s="24"/>
      <c r="K2075" s="19"/>
      <c r="L2075" s="174">
        <v>0</v>
      </c>
    </row>
    <row r="2076" spans="1:12" ht="15.75" hidden="1" thickBot="1" x14ac:dyDescent="0.3">
      <c r="A2076" s="181"/>
      <c r="B2076" s="179"/>
      <c r="C2076" s="25" t="s">
        <v>70</v>
      </c>
      <c r="D2076" s="36" t="s">
        <v>21</v>
      </c>
      <c r="E2076" s="26">
        <f>0.064*0.3</f>
        <v>1.9199999999999998E-2</v>
      </c>
      <c r="F2076" s="27" t="s">
        <v>1262</v>
      </c>
      <c r="G2076" s="19">
        <v>18.743500000000001</v>
      </c>
      <c r="H2076" s="27" t="s">
        <v>71</v>
      </c>
      <c r="I2076" s="23">
        <f>IF(ISNUMBER(G2076),E2076*G2076,"")</f>
        <v>0.35987520000000001</v>
      </c>
      <c r="J2076" s="24"/>
      <c r="K2076" s="19"/>
      <c r="L2076" s="174">
        <v>0</v>
      </c>
    </row>
    <row r="2077" spans="1:12" ht="15.75" hidden="1" thickBot="1" x14ac:dyDescent="0.3">
      <c r="A2077" s="181"/>
      <c r="B2077" s="179"/>
      <c r="C2077" s="25"/>
      <c r="D2077" s="36"/>
      <c r="E2077" s="26"/>
      <c r="F2077" s="27"/>
      <c r="G2077" s="23" t="s">
        <v>1079</v>
      </c>
      <c r="H2077" s="27"/>
      <c r="I2077" s="23" t="str">
        <f>IF(ISNUMBER(G2077),E2077*G2077,"")</f>
        <v/>
      </c>
      <c r="J2077" s="24"/>
      <c r="K2077" s="19"/>
      <c r="L2077" s="174">
        <v>0</v>
      </c>
    </row>
    <row r="2078" spans="1:12" ht="39" hidden="1" thickBot="1" x14ac:dyDescent="0.3">
      <c r="A2078" s="181"/>
      <c r="B2078" s="179"/>
      <c r="C2078" s="44" t="s">
        <v>1263</v>
      </c>
      <c r="D2078" s="36"/>
      <c r="E2078" s="26"/>
      <c r="F2078" s="27"/>
      <c r="G2078" s="23" t="s">
        <v>1079</v>
      </c>
      <c r="H2078" s="27"/>
      <c r="I2078" s="23" t="str">
        <f>IF(ISNUMBER(G2078),E2078*G2078,"")</f>
        <v/>
      </c>
      <c r="J2078" s="24"/>
      <c r="K2078" s="19"/>
      <c r="L2078" s="174">
        <v>0</v>
      </c>
    </row>
    <row r="2079" spans="1:12" ht="15.75" hidden="1" thickBot="1" x14ac:dyDescent="0.3">
      <c r="A2079" s="182"/>
      <c r="B2079" s="183"/>
      <c r="C2079" s="25"/>
      <c r="D2079" s="25"/>
      <c r="E2079" s="26"/>
      <c r="F2079" s="27"/>
      <c r="G2079" s="19" t="s">
        <v>1079</v>
      </c>
      <c r="H2079" s="27"/>
      <c r="I2079" s="19" t="str">
        <f>IF(ISNUMBER(G2079),E2079*G2079,"")</f>
        <v/>
      </c>
      <c r="J2079" s="24"/>
      <c r="K2079" s="19"/>
      <c r="L2079" s="174">
        <v>0</v>
      </c>
    </row>
    <row r="2080" spans="1:12" ht="15.75" hidden="1" thickBot="1" x14ac:dyDescent="0.3">
      <c r="A2080" s="180" t="s">
        <v>1284</v>
      </c>
      <c r="B2080" s="178" t="str">
        <f>INDEX(Orçamentária!A:B,MATCH(Composições!A2080,Orçamentária!A:A,0),2)</f>
        <v>Isolamento elastomérico para tubulações de ferro de 1 1/2"</v>
      </c>
      <c r="C2080" s="30"/>
      <c r="D2080" s="13" t="str">
        <f>TRIM(INDEX(Orçamentária!C:C,MATCH(Composições!A2080,Orçamentária!A:A,0),1))</f>
        <v>m</v>
      </c>
      <c r="E2080" s="14"/>
      <c r="F2080" s="15" t="s">
        <v>1260</v>
      </c>
      <c r="G2080" s="31" t="s">
        <v>1079</v>
      </c>
      <c r="H2080" s="16"/>
      <c r="I2080" s="16" t="str">
        <f>IF(ISNUMBER(G2080),E2080*G2080,"")</f>
        <v/>
      </c>
      <c r="J2080" s="17"/>
      <c r="K2080" s="18"/>
      <c r="L2080" s="174">
        <v>0</v>
      </c>
    </row>
    <row r="2081" spans="1:12" ht="15.75" hidden="1" thickBot="1" x14ac:dyDescent="0.3">
      <c r="A2081" s="181"/>
      <c r="B2081" s="179"/>
      <c r="C2081" s="20"/>
      <c r="D2081" s="20"/>
      <c r="E2081" s="21"/>
      <c r="F2081" s="22"/>
      <c r="G2081" s="32" t="s">
        <v>1079</v>
      </c>
      <c r="H2081" s="20"/>
      <c r="I2081" s="19" t="str">
        <f>IF(ISNUMBER(G2081),E2081*G2081,"")</f>
        <v/>
      </c>
      <c r="J2081" s="24"/>
      <c r="K2081" s="19"/>
      <c r="L2081" s="174">
        <v>0</v>
      </c>
    </row>
    <row r="2082" spans="1:12" ht="39" hidden="1" thickBot="1" x14ac:dyDescent="0.3">
      <c r="A2082" s="181"/>
      <c r="B2082" s="179"/>
      <c r="C2082" s="25" t="s">
        <v>1285</v>
      </c>
      <c r="D2082" s="36" t="s">
        <v>184</v>
      </c>
      <c r="E2082" s="26">
        <v>1.0210999999999999</v>
      </c>
      <c r="F2082" s="27" t="s">
        <v>1262</v>
      </c>
      <c r="G2082" s="23" t="s">
        <v>1079</v>
      </c>
      <c r="H2082" s="27" t="s">
        <v>33</v>
      </c>
      <c r="I2082" s="23" t="str">
        <f>IF(ISNUMBER(G2082),E2082*G2082,"")</f>
        <v/>
      </c>
      <c r="J2082" s="28">
        <f>SUM(I2082:I2084)</f>
        <v>0.64350719999999995</v>
      </c>
      <c r="K2082" s="29"/>
      <c r="L2082" s="174">
        <v>0</v>
      </c>
    </row>
    <row r="2083" spans="1:12" ht="26.25" hidden="1" thickBot="1" x14ac:dyDescent="0.3">
      <c r="A2083" s="181"/>
      <c r="B2083" s="179"/>
      <c r="C2083" s="25" t="s">
        <v>224</v>
      </c>
      <c r="D2083" s="36" t="s">
        <v>21</v>
      </c>
      <c r="E2083" s="26">
        <f>0.064*0.3</f>
        <v>1.9199999999999998E-2</v>
      </c>
      <c r="F2083" s="27" t="s">
        <v>1262</v>
      </c>
      <c r="G2083" s="19">
        <v>14.772500000000001</v>
      </c>
      <c r="H2083" s="27" t="s">
        <v>226</v>
      </c>
      <c r="I2083" s="23">
        <f>IF(ISNUMBER(G2083),E2083*G2083,"")</f>
        <v>0.283632</v>
      </c>
      <c r="J2083" s="24"/>
      <c r="K2083" s="19"/>
      <c r="L2083" s="174">
        <v>0</v>
      </c>
    </row>
    <row r="2084" spans="1:12" ht="15.75" hidden="1" thickBot="1" x14ac:dyDescent="0.3">
      <c r="A2084" s="181"/>
      <c r="B2084" s="179"/>
      <c r="C2084" s="25" t="s">
        <v>70</v>
      </c>
      <c r="D2084" s="36" t="s">
        <v>21</v>
      </c>
      <c r="E2084" s="26">
        <f>0.064*0.3</f>
        <v>1.9199999999999998E-2</v>
      </c>
      <c r="F2084" s="27" t="s">
        <v>1262</v>
      </c>
      <c r="G2084" s="19">
        <v>18.743500000000001</v>
      </c>
      <c r="H2084" s="27" t="s">
        <v>71</v>
      </c>
      <c r="I2084" s="23">
        <f>IF(ISNUMBER(G2084),E2084*G2084,"")</f>
        <v>0.35987520000000001</v>
      </c>
      <c r="J2084" s="24"/>
      <c r="K2084" s="19"/>
      <c r="L2084" s="174">
        <v>0</v>
      </c>
    </row>
    <row r="2085" spans="1:12" ht="15.75" hidden="1" thickBot="1" x14ac:dyDescent="0.3">
      <c r="A2085" s="181"/>
      <c r="B2085" s="179"/>
      <c r="C2085" s="25"/>
      <c r="D2085" s="36"/>
      <c r="E2085" s="26"/>
      <c r="F2085" s="27"/>
      <c r="G2085" s="23" t="s">
        <v>1079</v>
      </c>
      <c r="H2085" s="27"/>
      <c r="I2085" s="23" t="str">
        <f>IF(ISNUMBER(G2085),E2085*G2085,"")</f>
        <v/>
      </c>
      <c r="J2085" s="24"/>
      <c r="K2085" s="19"/>
      <c r="L2085" s="174">
        <v>0</v>
      </c>
    </row>
    <row r="2086" spans="1:12" ht="39" hidden="1" thickBot="1" x14ac:dyDescent="0.3">
      <c r="A2086" s="181"/>
      <c r="B2086" s="179"/>
      <c r="C2086" s="44" t="s">
        <v>1263</v>
      </c>
      <c r="D2086" s="36"/>
      <c r="E2086" s="26"/>
      <c r="F2086" s="27"/>
      <c r="G2086" s="23" t="s">
        <v>1079</v>
      </c>
      <c r="H2086" s="27"/>
      <c r="I2086" s="23" t="str">
        <f>IF(ISNUMBER(G2086),E2086*G2086,"")</f>
        <v/>
      </c>
      <c r="J2086" s="24"/>
      <c r="K2086" s="19"/>
      <c r="L2086" s="174">
        <v>0</v>
      </c>
    </row>
    <row r="2087" spans="1:12" ht="15.75" hidden="1" thickBot="1" x14ac:dyDescent="0.3">
      <c r="A2087" s="182"/>
      <c r="B2087" s="183"/>
      <c r="C2087" s="25"/>
      <c r="D2087" s="25"/>
      <c r="E2087" s="26"/>
      <c r="F2087" s="27"/>
      <c r="G2087" s="19" t="s">
        <v>1079</v>
      </c>
      <c r="H2087" s="27"/>
      <c r="I2087" s="19" t="str">
        <f>IF(ISNUMBER(G2087),E2087*G2087,"")</f>
        <v/>
      </c>
      <c r="J2087" s="24"/>
      <c r="K2087" s="19"/>
      <c r="L2087" s="174">
        <v>0</v>
      </c>
    </row>
    <row r="2088" spans="1:12" ht="15.75" hidden="1" thickBot="1" x14ac:dyDescent="0.3">
      <c r="A2088" s="180" t="s">
        <v>1286</v>
      </c>
      <c r="B2088" s="178" t="str">
        <f>INDEX(Orçamentária!A:B,MATCH(Composições!A2088,Orçamentária!A:A,0),2)</f>
        <v>Isolamento elastomérico para tubulações de ferro de 1 1/4"</v>
      </c>
      <c r="C2088" s="30"/>
      <c r="D2088" s="13" t="str">
        <f>TRIM(INDEX(Orçamentária!C:C,MATCH(Composições!A2088,Orçamentária!A:A,0),1))</f>
        <v>m</v>
      </c>
      <c r="E2088" s="14"/>
      <c r="F2088" s="15" t="s">
        <v>1260</v>
      </c>
      <c r="G2088" s="31" t="s">
        <v>1079</v>
      </c>
      <c r="H2088" s="16"/>
      <c r="I2088" s="16" t="str">
        <f>IF(ISNUMBER(G2088),E2088*G2088,"")</f>
        <v/>
      </c>
      <c r="J2088" s="17"/>
      <c r="K2088" s="18"/>
      <c r="L2088" s="174">
        <v>0</v>
      </c>
    </row>
    <row r="2089" spans="1:12" ht="15.75" hidden="1" thickBot="1" x14ac:dyDescent="0.3">
      <c r="A2089" s="181"/>
      <c r="B2089" s="179"/>
      <c r="C2089" s="20"/>
      <c r="D2089" s="20"/>
      <c r="E2089" s="21"/>
      <c r="F2089" s="22"/>
      <c r="G2089" s="32" t="s">
        <v>1079</v>
      </c>
      <c r="H2089" s="20"/>
      <c r="I2089" s="19" t="str">
        <f>IF(ISNUMBER(G2089),E2089*G2089,"")</f>
        <v/>
      </c>
      <c r="J2089" s="24"/>
      <c r="K2089" s="19"/>
      <c r="L2089" s="174">
        <v>0</v>
      </c>
    </row>
    <row r="2090" spans="1:12" ht="39" hidden="1" thickBot="1" x14ac:dyDescent="0.3">
      <c r="A2090" s="181"/>
      <c r="B2090" s="179"/>
      <c r="C2090" s="25" t="s">
        <v>1287</v>
      </c>
      <c r="D2090" s="36" t="s">
        <v>184</v>
      </c>
      <c r="E2090" s="26">
        <v>1.0210999999999999</v>
      </c>
      <c r="F2090" s="27" t="s">
        <v>1262</v>
      </c>
      <c r="G2090" s="23">
        <v>88.24</v>
      </c>
      <c r="H2090" s="27" t="s">
        <v>33</v>
      </c>
      <c r="I2090" s="23">
        <f>IF(ISNUMBER(G2090),E2090*G2090,"")</f>
        <v>90.101863999999992</v>
      </c>
      <c r="J2090" s="28">
        <f>SUM(I2090:I2092)</f>
        <v>90.745371199999994</v>
      </c>
      <c r="K2090" s="29"/>
      <c r="L2090" s="174">
        <v>0</v>
      </c>
    </row>
    <row r="2091" spans="1:12" ht="26.25" hidden="1" thickBot="1" x14ac:dyDescent="0.3">
      <c r="A2091" s="181"/>
      <c r="B2091" s="179"/>
      <c r="C2091" s="25" t="s">
        <v>224</v>
      </c>
      <c r="D2091" s="36" t="s">
        <v>21</v>
      </c>
      <c r="E2091" s="26">
        <f>0.064*0.3</f>
        <v>1.9199999999999998E-2</v>
      </c>
      <c r="F2091" s="27" t="s">
        <v>1262</v>
      </c>
      <c r="G2091" s="19">
        <v>14.772500000000001</v>
      </c>
      <c r="H2091" s="27" t="s">
        <v>226</v>
      </c>
      <c r="I2091" s="23">
        <f>IF(ISNUMBER(G2091),E2091*G2091,"")</f>
        <v>0.283632</v>
      </c>
      <c r="J2091" s="24"/>
      <c r="K2091" s="19"/>
      <c r="L2091" s="174">
        <v>0</v>
      </c>
    </row>
    <row r="2092" spans="1:12" ht="15.75" hidden="1" thickBot="1" x14ac:dyDescent="0.3">
      <c r="A2092" s="181"/>
      <c r="B2092" s="179"/>
      <c r="C2092" s="25" t="s">
        <v>70</v>
      </c>
      <c r="D2092" s="36" t="s">
        <v>21</v>
      </c>
      <c r="E2092" s="26">
        <f>0.064*0.3</f>
        <v>1.9199999999999998E-2</v>
      </c>
      <c r="F2092" s="27" t="s">
        <v>1262</v>
      </c>
      <c r="G2092" s="19">
        <v>18.743500000000001</v>
      </c>
      <c r="H2092" s="27" t="s">
        <v>71</v>
      </c>
      <c r="I2092" s="23">
        <f>IF(ISNUMBER(G2092),E2092*G2092,"")</f>
        <v>0.35987520000000001</v>
      </c>
      <c r="J2092" s="24"/>
      <c r="K2092" s="19"/>
      <c r="L2092" s="174">
        <v>0</v>
      </c>
    </row>
    <row r="2093" spans="1:12" ht="15.75" hidden="1" thickBot="1" x14ac:dyDescent="0.3">
      <c r="A2093" s="181"/>
      <c r="B2093" s="179"/>
      <c r="C2093" s="25"/>
      <c r="D2093" s="36"/>
      <c r="E2093" s="26"/>
      <c r="F2093" s="27"/>
      <c r="G2093" s="23" t="s">
        <v>1079</v>
      </c>
      <c r="H2093" s="27"/>
      <c r="I2093" s="23" t="str">
        <f>IF(ISNUMBER(G2093),E2093*G2093,"")</f>
        <v/>
      </c>
      <c r="J2093" s="24"/>
      <c r="K2093" s="19"/>
      <c r="L2093" s="174">
        <v>0</v>
      </c>
    </row>
    <row r="2094" spans="1:12" ht="39" hidden="1" thickBot="1" x14ac:dyDescent="0.3">
      <c r="A2094" s="181"/>
      <c r="B2094" s="179"/>
      <c r="C2094" s="44" t="s">
        <v>1263</v>
      </c>
      <c r="D2094" s="36"/>
      <c r="E2094" s="26"/>
      <c r="F2094" s="27"/>
      <c r="G2094" s="23" t="s">
        <v>1079</v>
      </c>
      <c r="H2094" s="27"/>
      <c r="I2094" s="23" t="str">
        <f>IF(ISNUMBER(G2094),E2094*G2094,"")</f>
        <v/>
      </c>
      <c r="J2094" s="24"/>
      <c r="K2094" s="19"/>
      <c r="L2094" s="174">
        <v>0</v>
      </c>
    </row>
    <row r="2095" spans="1:12" ht="15.75" hidden="1" thickBot="1" x14ac:dyDescent="0.3">
      <c r="A2095" s="182"/>
      <c r="B2095" s="183"/>
      <c r="C2095" s="25"/>
      <c r="D2095" s="25"/>
      <c r="E2095" s="26"/>
      <c r="F2095" s="27"/>
      <c r="G2095" s="19" t="s">
        <v>1079</v>
      </c>
      <c r="H2095" s="27"/>
      <c r="I2095" s="19" t="str">
        <f>IF(ISNUMBER(G2095),E2095*G2095,"")</f>
        <v/>
      </c>
      <c r="J2095" s="24"/>
      <c r="K2095" s="19"/>
      <c r="L2095" s="174">
        <v>0</v>
      </c>
    </row>
    <row r="2096" spans="1:12" ht="15.75" hidden="1" thickBot="1" x14ac:dyDescent="0.3">
      <c r="A2096" s="180" t="s">
        <v>1288</v>
      </c>
      <c r="B2096" s="178" t="str">
        <f>INDEX(Orçamentária!A:B,MATCH(Composições!A2096,Orçamentária!A:A,0),2)</f>
        <v>Isolamento elastomérico para tubulações de ferro de 1"</v>
      </c>
      <c r="C2096" s="30"/>
      <c r="D2096" s="13" t="str">
        <f>TRIM(INDEX(Orçamentária!C:C,MATCH(Composições!A2096,Orçamentária!A:A,0),1))</f>
        <v>m</v>
      </c>
      <c r="E2096" s="14"/>
      <c r="F2096" s="15" t="s">
        <v>1260</v>
      </c>
      <c r="G2096" s="31" t="s">
        <v>1079</v>
      </c>
      <c r="H2096" s="16"/>
      <c r="I2096" s="16" t="str">
        <f>IF(ISNUMBER(G2096),E2096*G2096,"")</f>
        <v/>
      </c>
      <c r="J2096" s="17"/>
      <c r="K2096" s="18"/>
      <c r="L2096" s="174">
        <v>0</v>
      </c>
    </row>
    <row r="2097" spans="1:12" ht="15.75" hidden="1" thickBot="1" x14ac:dyDescent="0.3">
      <c r="A2097" s="181"/>
      <c r="B2097" s="179"/>
      <c r="C2097" s="20"/>
      <c r="D2097" s="20"/>
      <c r="E2097" s="21"/>
      <c r="F2097" s="22"/>
      <c r="G2097" s="32" t="s">
        <v>1079</v>
      </c>
      <c r="H2097" s="20"/>
      <c r="I2097" s="19" t="str">
        <f>IF(ISNUMBER(G2097),E2097*G2097,"")</f>
        <v/>
      </c>
      <c r="J2097" s="24"/>
      <c r="K2097" s="19"/>
      <c r="L2097" s="174">
        <v>0</v>
      </c>
    </row>
    <row r="2098" spans="1:12" ht="39" hidden="1" thickBot="1" x14ac:dyDescent="0.3">
      <c r="A2098" s="181"/>
      <c r="B2098" s="179"/>
      <c r="C2098" s="25" t="s">
        <v>1289</v>
      </c>
      <c r="D2098" s="36" t="s">
        <v>184</v>
      </c>
      <c r="E2098" s="26">
        <v>1.0210999999999999</v>
      </c>
      <c r="F2098" s="27" t="s">
        <v>1262</v>
      </c>
      <c r="G2098" s="23">
        <v>61.02</v>
      </c>
      <c r="H2098" s="27" t="s">
        <v>33</v>
      </c>
      <c r="I2098" s="23">
        <f>IF(ISNUMBER(G2098),E2098*G2098,"")</f>
        <v>62.307521999999999</v>
      </c>
      <c r="J2098" s="28">
        <f>SUM(I2098:I2100)</f>
        <v>62.951029199999994</v>
      </c>
      <c r="K2098" s="29"/>
      <c r="L2098" s="174">
        <v>0</v>
      </c>
    </row>
    <row r="2099" spans="1:12" ht="26.25" hidden="1" thickBot="1" x14ac:dyDescent="0.3">
      <c r="A2099" s="181"/>
      <c r="B2099" s="179"/>
      <c r="C2099" s="25" t="s">
        <v>224</v>
      </c>
      <c r="D2099" s="36" t="s">
        <v>21</v>
      </c>
      <c r="E2099" s="26">
        <f>0.064*0.3</f>
        <v>1.9199999999999998E-2</v>
      </c>
      <c r="F2099" s="27" t="s">
        <v>1262</v>
      </c>
      <c r="G2099" s="19">
        <v>14.772500000000001</v>
      </c>
      <c r="H2099" s="27" t="s">
        <v>226</v>
      </c>
      <c r="I2099" s="23">
        <f>IF(ISNUMBER(G2099),E2099*G2099,"")</f>
        <v>0.283632</v>
      </c>
      <c r="J2099" s="24"/>
      <c r="K2099" s="19"/>
      <c r="L2099" s="174">
        <v>0</v>
      </c>
    </row>
    <row r="2100" spans="1:12" ht="15.75" hidden="1" thickBot="1" x14ac:dyDescent="0.3">
      <c r="A2100" s="181"/>
      <c r="B2100" s="179"/>
      <c r="C2100" s="25" t="s">
        <v>70</v>
      </c>
      <c r="D2100" s="36" t="s">
        <v>21</v>
      </c>
      <c r="E2100" s="26">
        <f>0.064*0.3</f>
        <v>1.9199999999999998E-2</v>
      </c>
      <c r="F2100" s="27" t="s">
        <v>1262</v>
      </c>
      <c r="G2100" s="19">
        <v>18.743500000000001</v>
      </c>
      <c r="H2100" s="27" t="s">
        <v>71</v>
      </c>
      <c r="I2100" s="23">
        <f>IF(ISNUMBER(G2100),E2100*G2100,"")</f>
        <v>0.35987520000000001</v>
      </c>
      <c r="J2100" s="24"/>
      <c r="K2100" s="19"/>
      <c r="L2100" s="174">
        <v>0</v>
      </c>
    </row>
    <row r="2101" spans="1:12" ht="15.75" hidden="1" thickBot="1" x14ac:dyDescent="0.3">
      <c r="A2101" s="181"/>
      <c r="B2101" s="179"/>
      <c r="C2101" s="25"/>
      <c r="D2101" s="36"/>
      <c r="E2101" s="26"/>
      <c r="F2101" s="27"/>
      <c r="G2101" s="23" t="s">
        <v>1079</v>
      </c>
      <c r="H2101" s="27"/>
      <c r="I2101" s="23" t="str">
        <f>IF(ISNUMBER(G2101),E2101*G2101,"")</f>
        <v/>
      </c>
      <c r="J2101" s="24"/>
      <c r="K2101" s="19"/>
      <c r="L2101" s="174">
        <v>0</v>
      </c>
    </row>
    <row r="2102" spans="1:12" ht="39" hidden="1" thickBot="1" x14ac:dyDescent="0.3">
      <c r="A2102" s="181"/>
      <c r="B2102" s="179"/>
      <c r="C2102" s="44" t="s">
        <v>1263</v>
      </c>
      <c r="D2102" s="36"/>
      <c r="E2102" s="26"/>
      <c r="F2102" s="27"/>
      <c r="G2102" s="23" t="s">
        <v>1079</v>
      </c>
      <c r="H2102" s="27"/>
      <c r="I2102" s="23" t="str">
        <f>IF(ISNUMBER(G2102),E2102*G2102,"")</f>
        <v/>
      </c>
      <c r="J2102" s="24"/>
      <c r="K2102" s="19"/>
      <c r="L2102" s="174">
        <v>0</v>
      </c>
    </row>
    <row r="2103" spans="1:12" ht="15.75" hidden="1" thickBot="1" x14ac:dyDescent="0.3">
      <c r="A2103" s="182"/>
      <c r="B2103" s="183"/>
      <c r="C2103" s="25"/>
      <c r="D2103" s="25"/>
      <c r="E2103" s="26"/>
      <c r="F2103" s="27"/>
      <c r="G2103" s="19" t="s">
        <v>1079</v>
      </c>
      <c r="H2103" s="27"/>
      <c r="I2103" s="19" t="str">
        <f>IF(ISNUMBER(G2103),E2103*G2103,"")</f>
        <v/>
      </c>
      <c r="J2103" s="24"/>
      <c r="K2103" s="19"/>
      <c r="L2103" s="174">
        <v>0</v>
      </c>
    </row>
    <row r="2104" spans="1:12" ht="15.75" hidden="1" thickBot="1" x14ac:dyDescent="0.3">
      <c r="A2104" s="180" t="s">
        <v>1290</v>
      </c>
      <c r="B2104" s="178" t="str">
        <f>INDEX(Orçamentária!A:B,MATCH(Composições!A2104,Orçamentária!A:A,0),2)</f>
        <v>Proteção mecânica em alumínio</v>
      </c>
      <c r="C2104" s="30"/>
      <c r="D2104" s="13" t="str">
        <f>TRIM(INDEX(Orçamentária!C:C,MATCH(Composições!A2104,Orçamentária!A:A,0),1))</f>
        <v>m2</v>
      </c>
      <c r="E2104" s="14"/>
      <c r="F2104" s="15" t="s">
        <v>17</v>
      </c>
      <c r="G2104" s="31" t="s">
        <v>1079</v>
      </c>
      <c r="H2104" s="16"/>
      <c r="I2104" s="16" t="str">
        <f>IF(ISNUMBER(G2104),E2104*G2104,"")</f>
        <v/>
      </c>
      <c r="J2104" s="17"/>
      <c r="K2104" s="18"/>
      <c r="L2104" s="174">
        <v>0</v>
      </c>
    </row>
    <row r="2105" spans="1:12" ht="15.75" hidden="1" thickBot="1" x14ac:dyDescent="0.3">
      <c r="A2105" s="181"/>
      <c r="B2105" s="179"/>
      <c r="C2105" s="20"/>
      <c r="D2105" s="20"/>
      <c r="E2105" s="21"/>
      <c r="F2105" s="22"/>
      <c r="G2105" s="32" t="s">
        <v>1079</v>
      </c>
      <c r="H2105" s="20"/>
      <c r="I2105" s="19" t="str">
        <f>IF(ISNUMBER(G2105),E2105*G2105,"")</f>
        <v/>
      </c>
      <c r="J2105" s="24"/>
      <c r="K2105" s="19"/>
      <c r="L2105" s="174">
        <v>0</v>
      </c>
    </row>
    <row r="2106" spans="1:12" ht="26.25" hidden="1" thickBot="1" x14ac:dyDescent="0.3">
      <c r="A2106" s="181"/>
      <c r="B2106" s="179"/>
      <c r="C2106" s="25" t="s">
        <v>224</v>
      </c>
      <c r="D2106" s="36" t="s">
        <v>21</v>
      </c>
      <c r="E2106" s="26">
        <v>0.2</v>
      </c>
      <c r="F2106" s="27" t="s">
        <v>17</v>
      </c>
      <c r="G2106" s="19">
        <v>14.772500000000001</v>
      </c>
      <c r="H2106" s="27" t="s">
        <v>226</v>
      </c>
      <c r="I2106" s="23">
        <f>IF(ISNUMBER(G2106),E2106*G2106,"")</f>
        <v>2.9545000000000003</v>
      </c>
      <c r="J2106" s="28">
        <f>SUM(I2106:I2108)</f>
        <v>6.7032000000000007</v>
      </c>
      <c r="K2106" s="29"/>
      <c r="L2106" s="174">
        <v>0</v>
      </c>
    </row>
    <row r="2107" spans="1:12" ht="15.75" hidden="1" thickBot="1" x14ac:dyDescent="0.3">
      <c r="A2107" s="181"/>
      <c r="B2107" s="179"/>
      <c r="C2107" s="25" t="s">
        <v>70</v>
      </c>
      <c r="D2107" s="36" t="s">
        <v>21</v>
      </c>
      <c r="E2107" s="26">
        <v>0.2</v>
      </c>
      <c r="F2107" s="27" t="s">
        <v>17</v>
      </c>
      <c r="G2107" s="19">
        <v>18.743500000000001</v>
      </c>
      <c r="H2107" s="27" t="s">
        <v>71</v>
      </c>
      <c r="I2107" s="23">
        <f>IF(ISNUMBER(G2107),E2107*G2107,"")</f>
        <v>3.7487000000000004</v>
      </c>
      <c r="J2107" s="24"/>
      <c r="K2107" s="19"/>
      <c r="L2107" s="174">
        <v>0</v>
      </c>
    </row>
    <row r="2108" spans="1:12" ht="15.75" hidden="1" thickBot="1" x14ac:dyDescent="0.3">
      <c r="A2108" s="181"/>
      <c r="B2108" s="179"/>
      <c r="C2108" s="25" t="s">
        <v>1291</v>
      </c>
      <c r="D2108" s="36" t="s">
        <v>189</v>
      </c>
      <c r="E2108" s="26">
        <v>1.05</v>
      </c>
      <c r="F2108" s="27" t="s">
        <v>17</v>
      </c>
      <c r="G2108" s="23" t="s">
        <v>1079</v>
      </c>
      <c r="H2108" s="27" t="s">
        <v>33</v>
      </c>
      <c r="I2108" s="23" t="str">
        <f>IF(ISNUMBER(G2108),E2108*G2108,"")</f>
        <v/>
      </c>
      <c r="J2108" s="24"/>
      <c r="K2108" s="19"/>
      <c r="L2108" s="174">
        <v>0</v>
      </c>
    </row>
    <row r="2109" spans="1:12" ht="15.75" hidden="1" thickBot="1" x14ac:dyDescent="0.3">
      <c r="A2109" s="182"/>
      <c r="B2109" s="183"/>
      <c r="C2109" s="25"/>
      <c r="D2109" s="25"/>
      <c r="E2109" s="26"/>
      <c r="F2109" s="27"/>
      <c r="G2109" s="19" t="s">
        <v>1079</v>
      </c>
      <c r="H2109" s="27"/>
      <c r="I2109" s="19" t="str">
        <f>IF(ISNUMBER(G2109),E2109*G2109,"")</f>
        <v/>
      </c>
      <c r="J2109" s="24"/>
      <c r="K2109" s="19"/>
      <c r="L2109" s="174">
        <v>0</v>
      </c>
    </row>
    <row r="2110" spans="1:12" ht="15.75" hidden="1" thickBot="1" x14ac:dyDescent="0.3">
      <c r="A2110" s="180" t="s">
        <v>1292</v>
      </c>
      <c r="B2110" s="178" t="str">
        <f>INDEX(Orçamentária!A:B,MATCH(Composições!A2110,Orçamentária!A:A,0),2)</f>
        <v>Tubo de aço-carbono galvanizado 1 1/2"</v>
      </c>
      <c r="C2110" s="30"/>
      <c r="D2110" s="13" t="str">
        <f>TRIM(INDEX(Orçamentária!C:C,MATCH(Composições!A2110,Orçamentária!A:A,0),1))</f>
        <v>m</v>
      </c>
      <c r="E2110" s="14"/>
      <c r="F2110" s="15" t="s">
        <v>1293</v>
      </c>
      <c r="G2110" s="31" t="s">
        <v>1079</v>
      </c>
      <c r="H2110" s="16"/>
      <c r="I2110" s="16" t="str">
        <f>IF(ISNUMBER(G2110),E2110*G2110,"")</f>
        <v/>
      </c>
      <c r="J2110" s="17"/>
      <c r="K2110" s="18"/>
      <c r="L2110" s="174">
        <v>0</v>
      </c>
    </row>
    <row r="2111" spans="1:12" ht="15.75" hidden="1" thickBot="1" x14ac:dyDescent="0.3">
      <c r="A2111" s="181"/>
      <c r="B2111" s="179"/>
      <c r="C2111" s="20"/>
      <c r="D2111" s="20"/>
      <c r="E2111" s="21"/>
      <c r="F2111" s="22"/>
      <c r="G2111" s="32" t="s">
        <v>1079</v>
      </c>
      <c r="H2111" s="20"/>
      <c r="I2111" s="19" t="str">
        <f>IF(ISNUMBER(G2111),E2111*G2111,"")</f>
        <v/>
      </c>
      <c r="J2111" s="24"/>
      <c r="K2111" s="19"/>
      <c r="L2111" s="174">
        <v>0</v>
      </c>
    </row>
    <row r="2112" spans="1:12" ht="15.75" hidden="1" thickBot="1" x14ac:dyDescent="0.3">
      <c r="A2112" s="181"/>
      <c r="B2112" s="179"/>
      <c r="C2112" s="25" t="s">
        <v>70</v>
      </c>
      <c r="D2112" s="36" t="s">
        <v>21</v>
      </c>
      <c r="E2112" s="26">
        <v>0.29199999999999998</v>
      </c>
      <c r="F2112" s="27" t="s">
        <v>1294</v>
      </c>
      <c r="G2112" s="19">
        <v>18.743500000000001</v>
      </c>
      <c r="H2112" s="27" t="s">
        <v>71</v>
      </c>
      <c r="I2112" s="19">
        <f>IF(ISNUMBER(G2112),E2112*G2112,"")</f>
        <v>5.4731019999999999</v>
      </c>
      <c r="J2112" s="28">
        <f>SUM(I2112:I2114)</f>
        <v>51.499404999999996</v>
      </c>
      <c r="K2112" s="29"/>
      <c r="L2112" s="174">
        <v>0</v>
      </c>
    </row>
    <row r="2113" spans="1:12" ht="26.25" hidden="1" thickBot="1" x14ac:dyDescent="0.3">
      <c r="A2113" s="181"/>
      <c r="B2113" s="179"/>
      <c r="C2113" s="25" t="s">
        <v>224</v>
      </c>
      <c r="D2113" s="36" t="s">
        <v>21</v>
      </c>
      <c r="E2113" s="26">
        <v>0.29199999999999998</v>
      </c>
      <c r="F2113" s="27" t="s">
        <v>1294</v>
      </c>
      <c r="G2113" s="19">
        <v>14.772500000000001</v>
      </c>
      <c r="H2113" s="27" t="s">
        <v>226</v>
      </c>
      <c r="I2113" s="19">
        <f>IF(ISNUMBER(G2113),E2113*G2113,"")</f>
        <v>4.3135700000000003</v>
      </c>
      <c r="J2113" s="24"/>
      <c r="K2113" s="19"/>
      <c r="L2113" s="174">
        <v>0</v>
      </c>
    </row>
    <row r="2114" spans="1:12" ht="26.25" hidden="1" thickBot="1" x14ac:dyDescent="0.3">
      <c r="A2114" s="181"/>
      <c r="B2114" s="179"/>
      <c r="C2114" s="25" t="s">
        <v>1295</v>
      </c>
      <c r="D2114" s="36" t="s">
        <v>184</v>
      </c>
      <c r="E2114" s="26">
        <v>1.0389999999999999</v>
      </c>
      <c r="F2114" s="27" t="s">
        <v>1294</v>
      </c>
      <c r="G2114" s="23">
        <v>40.146999999999998</v>
      </c>
      <c r="H2114" s="27" t="s">
        <v>1296</v>
      </c>
      <c r="I2114" s="19">
        <f>IF(ISNUMBER(G2114),E2114*G2114,"")</f>
        <v>41.712732999999993</v>
      </c>
      <c r="J2114" s="24"/>
      <c r="K2114" s="19"/>
      <c r="L2114" s="174">
        <v>0</v>
      </c>
    </row>
    <row r="2115" spans="1:12" ht="15.75" hidden="1" thickBot="1" x14ac:dyDescent="0.3">
      <c r="A2115" s="182"/>
      <c r="B2115" s="183"/>
      <c r="C2115" s="25"/>
      <c r="D2115" s="25"/>
      <c r="E2115" s="26"/>
      <c r="F2115" s="27"/>
      <c r="G2115" s="19" t="s">
        <v>1079</v>
      </c>
      <c r="H2115" s="27"/>
      <c r="I2115" s="19" t="str">
        <f>IF(ISNUMBER(G2115),E2115*G2115,"")</f>
        <v/>
      </c>
      <c r="J2115" s="24"/>
      <c r="K2115" s="19"/>
      <c r="L2115" s="174">
        <v>0</v>
      </c>
    </row>
    <row r="2116" spans="1:12" ht="15.75" hidden="1" thickBot="1" x14ac:dyDescent="0.3">
      <c r="A2116" s="180" t="s">
        <v>1297</v>
      </c>
      <c r="B2116" s="178" t="str">
        <f>INDEX(Orçamentária!A:B,MATCH(Composições!A2116,Orçamentária!A:A,0),2)</f>
        <v>Tubo de aço-carbono galvanizado 1 1/4"</v>
      </c>
      <c r="C2116" s="30"/>
      <c r="D2116" s="13" t="str">
        <f>TRIM(INDEX(Orçamentária!C:C,MATCH(Composições!A2116,Orçamentária!A:A,0),1))</f>
        <v>m</v>
      </c>
      <c r="E2116" s="14"/>
      <c r="F2116" s="15" t="s">
        <v>1298</v>
      </c>
      <c r="G2116" s="31" t="s">
        <v>1079</v>
      </c>
      <c r="H2116" s="16"/>
      <c r="I2116" s="16" t="str">
        <f>IF(ISNUMBER(G2116),E2116*G2116,"")</f>
        <v/>
      </c>
      <c r="J2116" s="17"/>
      <c r="K2116" s="18"/>
      <c r="L2116" s="174">
        <v>0</v>
      </c>
    </row>
    <row r="2117" spans="1:12" ht="15.75" hidden="1" thickBot="1" x14ac:dyDescent="0.3">
      <c r="A2117" s="181"/>
      <c r="B2117" s="179"/>
      <c r="C2117" s="20"/>
      <c r="D2117" s="20"/>
      <c r="E2117" s="21"/>
      <c r="F2117" s="22"/>
      <c r="G2117" s="32" t="s">
        <v>1079</v>
      </c>
      <c r="H2117" s="20"/>
      <c r="I2117" s="19" t="str">
        <f>IF(ISNUMBER(G2117),E2117*G2117,"")</f>
        <v/>
      </c>
      <c r="J2117" s="24"/>
      <c r="K2117" s="19"/>
      <c r="L2117" s="174">
        <v>0</v>
      </c>
    </row>
    <row r="2118" spans="1:12" ht="15.75" hidden="1" thickBot="1" x14ac:dyDescent="0.3">
      <c r="A2118" s="181"/>
      <c r="B2118" s="179"/>
      <c r="C2118" s="25" t="s">
        <v>70</v>
      </c>
      <c r="D2118" s="36" t="s">
        <v>21</v>
      </c>
      <c r="E2118" s="26">
        <v>0.27500000000000002</v>
      </c>
      <c r="F2118" s="27" t="s">
        <v>1299</v>
      </c>
      <c r="G2118" s="19">
        <v>18.743500000000001</v>
      </c>
      <c r="H2118" s="27" t="s">
        <v>71</v>
      </c>
      <c r="I2118" s="19">
        <f>IF(ISNUMBER(G2118),E2118*G2118,"")</f>
        <v>5.1544625000000011</v>
      </c>
      <c r="J2118" s="28">
        <f>SUM(I2118:I2120)</f>
        <v>9.2169000000000025</v>
      </c>
      <c r="K2118" s="29"/>
      <c r="L2118" s="174">
        <v>0</v>
      </c>
    </row>
    <row r="2119" spans="1:12" ht="26.25" hidden="1" thickBot="1" x14ac:dyDescent="0.3">
      <c r="A2119" s="181"/>
      <c r="B2119" s="179"/>
      <c r="C2119" s="25" t="s">
        <v>224</v>
      </c>
      <c r="D2119" s="36" t="s">
        <v>21</v>
      </c>
      <c r="E2119" s="26">
        <v>0.27500000000000002</v>
      </c>
      <c r="F2119" s="27" t="s">
        <v>1299</v>
      </c>
      <c r="G2119" s="19">
        <v>14.772500000000001</v>
      </c>
      <c r="H2119" s="27" t="s">
        <v>226</v>
      </c>
      <c r="I2119" s="19">
        <f>IF(ISNUMBER(G2119),E2119*G2119,"")</f>
        <v>4.0624375000000006</v>
      </c>
      <c r="J2119" s="24"/>
      <c r="K2119" s="19"/>
      <c r="L2119" s="174">
        <v>0</v>
      </c>
    </row>
    <row r="2120" spans="1:12" ht="15.75" hidden="1" thickBot="1" x14ac:dyDescent="0.3">
      <c r="A2120" s="181"/>
      <c r="B2120" s="179"/>
      <c r="C2120" s="25" t="s">
        <v>1300</v>
      </c>
      <c r="D2120" s="36" t="s">
        <v>184</v>
      </c>
      <c r="E2120" s="26">
        <v>1.0389999999999999</v>
      </c>
      <c r="F2120" s="27" t="s">
        <v>1299</v>
      </c>
      <c r="G2120" s="19">
        <v>0</v>
      </c>
      <c r="H2120" s="27" t="s">
        <v>4591</v>
      </c>
      <c r="I2120" s="19">
        <f>IF(ISNUMBER(G2120),E2120*G2120,"")</f>
        <v>0</v>
      </c>
      <c r="J2120" s="24"/>
      <c r="K2120" s="19"/>
      <c r="L2120" s="174">
        <v>0</v>
      </c>
    </row>
    <row r="2121" spans="1:12" ht="15.75" hidden="1" thickBot="1" x14ac:dyDescent="0.3">
      <c r="A2121" s="182"/>
      <c r="B2121" s="183"/>
      <c r="C2121" s="25"/>
      <c r="D2121" s="25"/>
      <c r="E2121" s="26"/>
      <c r="F2121" s="27"/>
      <c r="G2121" s="19" t="s">
        <v>1079</v>
      </c>
      <c r="H2121" s="27"/>
      <c r="I2121" s="19" t="str">
        <f>IF(ISNUMBER(G2121),E2121*G2121,"")</f>
        <v/>
      </c>
      <c r="J2121" s="24"/>
      <c r="K2121" s="19"/>
      <c r="L2121" s="174">
        <v>0</v>
      </c>
    </row>
    <row r="2122" spans="1:12" ht="15.75" hidden="1" thickBot="1" x14ac:dyDescent="0.3">
      <c r="A2122" s="180" t="s">
        <v>1301</v>
      </c>
      <c r="B2122" s="178" t="str">
        <f>INDEX(Orçamentária!A:B,MATCH(Composições!A2122,Orçamentária!A:A,0),2)</f>
        <v>Tubo de aço-carbono galvanizado 1"</v>
      </c>
      <c r="C2122" s="30"/>
      <c r="D2122" s="13" t="str">
        <f>TRIM(INDEX(Orçamentária!C:C,MATCH(Composições!A2122,Orçamentária!A:A,0),1))</f>
        <v>m</v>
      </c>
      <c r="E2122" s="14"/>
      <c r="F2122" s="15" t="s">
        <v>1302</v>
      </c>
      <c r="G2122" s="31" t="s">
        <v>1079</v>
      </c>
      <c r="H2122" s="16"/>
      <c r="I2122" s="16" t="str">
        <f>IF(ISNUMBER(G2122),E2122*G2122,"")</f>
        <v/>
      </c>
      <c r="J2122" s="17"/>
      <c r="K2122" s="18"/>
      <c r="L2122" s="174">
        <v>0</v>
      </c>
    </row>
    <row r="2123" spans="1:12" ht="15.75" hidden="1" thickBot="1" x14ac:dyDescent="0.3">
      <c r="A2123" s="181"/>
      <c r="B2123" s="179"/>
      <c r="C2123" s="20"/>
      <c r="D2123" s="20"/>
      <c r="E2123" s="21"/>
      <c r="F2123" s="22"/>
      <c r="G2123" s="32" t="s">
        <v>1079</v>
      </c>
      <c r="H2123" s="20"/>
      <c r="I2123" s="19" t="str">
        <f>IF(ISNUMBER(G2123),E2123*G2123,"")</f>
        <v/>
      </c>
      <c r="J2123" s="24"/>
      <c r="K2123" s="19"/>
      <c r="L2123" s="174">
        <v>0</v>
      </c>
    </row>
    <row r="2124" spans="1:12" ht="15.75" hidden="1" thickBot="1" x14ac:dyDescent="0.3">
      <c r="A2124" s="181"/>
      <c r="B2124" s="179"/>
      <c r="C2124" s="25" t="s">
        <v>70</v>
      </c>
      <c r="D2124" s="36" t="s">
        <v>21</v>
      </c>
      <c r="E2124" s="26">
        <v>0.29699999999999999</v>
      </c>
      <c r="F2124" s="27" t="s">
        <v>1303</v>
      </c>
      <c r="G2124" s="19">
        <v>18.743500000000001</v>
      </c>
      <c r="H2124" s="27" t="s">
        <v>71</v>
      </c>
      <c r="I2124" s="23">
        <f>IF(ISNUMBER(G2124),E2124*G2124,"")</f>
        <v>5.5668195000000003</v>
      </c>
      <c r="J2124" s="28">
        <f>SUM(I2124:I2126)</f>
        <v>9.9542520000000003</v>
      </c>
      <c r="K2124" s="29"/>
      <c r="L2124" s="174">
        <v>0</v>
      </c>
    </row>
    <row r="2125" spans="1:12" ht="26.25" hidden="1" thickBot="1" x14ac:dyDescent="0.3">
      <c r="A2125" s="181"/>
      <c r="B2125" s="179"/>
      <c r="C2125" s="25" t="s">
        <v>224</v>
      </c>
      <c r="D2125" s="36" t="s">
        <v>21</v>
      </c>
      <c r="E2125" s="26">
        <v>0.29699999999999999</v>
      </c>
      <c r="F2125" s="27" t="s">
        <v>1303</v>
      </c>
      <c r="G2125" s="19">
        <v>14.772500000000001</v>
      </c>
      <c r="H2125" s="27" t="s">
        <v>226</v>
      </c>
      <c r="I2125" s="23">
        <f>IF(ISNUMBER(G2125),E2125*G2125,"")</f>
        <v>4.3874325000000001</v>
      </c>
      <c r="J2125" s="24"/>
      <c r="K2125" s="19"/>
      <c r="L2125" s="174">
        <v>0</v>
      </c>
    </row>
    <row r="2126" spans="1:12" ht="15.75" hidden="1" thickBot="1" x14ac:dyDescent="0.3">
      <c r="A2126" s="181"/>
      <c r="B2126" s="179"/>
      <c r="C2126" s="25" t="s">
        <v>1304</v>
      </c>
      <c r="D2126" s="36" t="s">
        <v>184</v>
      </c>
      <c r="E2126" s="26">
        <v>1.0389999999999999</v>
      </c>
      <c r="F2126" s="27" t="s">
        <v>1303</v>
      </c>
      <c r="G2126" s="19">
        <v>0</v>
      </c>
      <c r="H2126" s="27" t="s">
        <v>4592</v>
      </c>
      <c r="I2126" s="23">
        <f>IF(ISNUMBER(G2126),E2126*G2126,"")</f>
        <v>0</v>
      </c>
      <c r="J2126" s="24"/>
      <c r="K2126" s="19"/>
      <c r="L2126" s="174">
        <v>0</v>
      </c>
    </row>
    <row r="2127" spans="1:12" ht="15.75" hidden="1" thickBot="1" x14ac:dyDescent="0.3">
      <c r="A2127" s="182"/>
      <c r="B2127" s="183"/>
      <c r="C2127" s="25"/>
      <c r="D2127" s="25"/>
      <c r="E2127" s="26"/>
      <c r="F2127" s="27"/>
      <c r="G2127" s="19" t="s">
        <v>1079</v>
      </c>
      <c r="H2127" s="27"/>
      <c r="I2127" s="19" t="str">
        <f>IF(ISNUMBER(G2127),E2127*G2127,"")</f>
        <v/>
      </c>
      <c r="J2127" s="24"/>
      <c r="K2127" s="19"/>
      <c r="L2127" s="174">
        <v>0</v>
      </c>
    </row>
    <row r="2128" spans="1:12" ht="15.75" hidden="1" thickBot="1" x14ac:dyDescent="0.3">
      <c r="A2128" s="180" t="s">
        <v>1305</v>
      </c>
      <c r="B2128" s="178" t="str">
        <f>INDEX(Orçamentária!A:B,MATCH(Composições!A2128,Orçamentária!A:A,0),2)</f>
        <v>Tubo de aço-carbono galvanizado 3/4"</v>
      </c>
      <c r="C2128" s="30"/>
      <c r="D2128" s="13" t="str">
        <f>TRIM(INDEX(Orçamentária!C:C,MATCH(Composições!A2128,Orçamentária!A:A,0),1))</f>
        <v>m</v>
      </c>
      <c r="E2128" s="14"/>
      <c r="F2128" s="15" t="s">
        <v>1302</v>
      </c>
      <c r="G2128" s="31" t="s">
        <v>1079</v>
      </c>
      <c r="H2128" s="16"/>
      <c r="I2128" s="16" t="str">
        <f>IF(ISNUMBER(G2128),E2128*G2128,"")</f>
        <v/>
      </c>
      <c r="J2128" s="17"/>
      <c r="K2128" s="18"/>
      <c r="L2128" s="174">
        <v>0</v>
      </c>
    </row>
    <row r="2129" spans="1:12" ht="15.75" hidden="1" thickBot="1" x14ac:dyDescent="0.3">
      <c r="A2129" s="181"/>
      <c r="B2129" s="179"/>
      <c r="C2129" s="20"/>
      <c r="D2129" s="20"/>
      <c r="E2129" s="21"/>
      <c r="F2129" s="22"/>
      <c r="G2129" s="32" t="s">
        <v>1079</v>
      </c>
      <c r="H2129" s="20"/>
      <c r="I2129" s="19" t="str">
        <f>IF(ISNUMBER(G2129),E2129*G2129,"")</f>
        <v/>
      </c>
      <c r="J2129" s="24"/>
      <c r="K2129" s="19"/>
      <c r="L2129" s="174">
        <v>0</v>
      </c>
    </row>
    <row r="2130" spans="1:12" ht="15.75" hidden="1" thickBot="1" x14ac:dyDescent="0.3">
      <c r="A2130" s="181"/>
      <c r="B2130" s="179"/>
      <c r="C2130" s="25" t="s">
        <v>70</v>
      </c>
      <c r="D2130" s="36" t="s">
        <v>21</v>
      </c>
      <c r="E2130" s="26">
        <v>0.29699999999999999</v>
      </c>
      <c r="F2130" s="27" t="s">
        <v>1303</v>
      </c>
      <c r="G2130" s="19">
        <v>18.743500000000001</v>
      </c>
      <c r="H2130" s="27" t="s">
        <v>71</v>
      </c>
      <c r="I2130" s="19">
        <f>IF(ISNUMBER(G2130),E2130*G2130,"")</f>
        <v>5.5668195000000003</v>
      </c>
      <c r="J2130" s="28">
        <f>SUM(I2130:I2132)</f>
        <v>35.331307499999994</v>
      </c>
      <c r="K2130" s="29"/>
      <c r="L2130" s="174">
        <v>0</v>
      </c>
    </row>
    <row r="2131" spans="1:12" ht="26.25" hidden="1" thickBot="1" x14ac:dyDescent="0.3">
      <c r="A2131" s="181"/>
      <c r="B2131" s="179"/>
      <c r="C2131" s="25" t="s">
        <v>224</v>
      </c>
      <c r="D2131" s="36" t="s">
        <v>21</v>
      </c>
      <c r="E2131" s="26">
        <v>0.29699999999999999</v>
      </c>
      <c r="F2131" s="27" t="s">
        <v>1303</v>
      </c>
      <c r="G2131" s="19">
        <v>14.772500000000001</v>
      </c>
      <c r="H2131" s="27" t="s">
        <v>226</v>
      </c>
      <c r="I2131" s="19">
        <f>IF(ISNUMBER(G2131),E2131*G2131,"")</f>
        <v>4.3874325000000001</v>
      </c>
      <c r="J2131" s="24"/>
      <c r="K2131" s="19"/>
      <c r="L2131" s="174">
        <v>0</v>
      </c>
    </row>
    <row r="2132" spans="1:12" ht="26.25" hidden="1" thickBot="1" x14ac:dyDescent="0.3">
      <c r="A2132" s="181"/>
      <c r="B2132" s="179"/>
      <c r="C2132" s="25" t="s">
        <v>1306</v>
      </c>
      <c r="D2132" s="36" t="s">
        <v>184</v>
      </c>
      <c r="E2132" s="26">
        <v>1.0389999999999999</v>
      </c>
      <c r="F2132" s="27" t="s">
        <v>1303</v>
      </c>
      <c r="G2132" s="23">
        <v>24.424499999999998</v>
      </c>
      <c r="H2132" s="27" t="s">
        <v>1307</v>
      </c>
      <c r="I2132" s="19">
        <f>IF(ISNUMBER(G2132),E2132*G2132,"")</f>
        <v>25.377055499999997</v>
      </c>
      <c r="J2132" s="24"/>
      <c r="K2132" s="19"/>
      <c r="L2132" s="174">
        <v>0</v>
      </c>
    </row>
    <row r="2133" spans="1:12" ht="15.75" hidden="1" thickBot="1" x14ac:dyDescent="0.3">
      <c r="A2133" s="182"/>
      <c r="B2133" s="183"/>
      <c r="C2133" s="25"/>
      <c r="D2133" s="25"/>
      <c r="E2133" s="26"/>
      <c r="F2133" s="27"/>
      <c r="G2133" s="19" t="s">
        <v>1079</v>
      </c>
      <c r="H2133" s="27"/>
      <c r="I2133" s="19" t="str">
        <f>IF(ISNUMBER(G2133),E2133*G2133,"")</f>
        <v/>
      </c>
      <c r="J2133" s="24"/>
      <c r="K2133" s="19"/>
      <c r="L2133" s="174">
        <v>0</v>
      </c>
    </row>
    <row r="2134" spans="1:12" ht="15.75" hidden="1" thickBot="1" x14ac:dyDescent="0.3">
      <c r="A2134" s="180" t="s">
        <v>1308</v>
      </c>
      <c r="B2134" s="178" t="str">
        <f>INDEX(Orçamentária!A:B,MATCH(Composições!A2134,Orçamentária!A:A,0),2)</f>
        <v>Tubo de cobre de 1/2"</v>
      </c>
      <c r="C2134" s="30"/>
      <c r="D2134" s="13" t="str">
        <f>TRIM(INDEX(Orçamentária!C:C,MATCH(Composições!A2134,Orçamentária!A:A,0),1))</f>
        <v>m</v>
      </c>
      <c r="E2134" s="14"/>
      <c r="F2134" s="15" t="s">
        <v>1265</v>
      </c>
      <c r="G2134" s="31" t="s">
        <v>1079</v>
      </c>
      <c r="H2134" s="16"/>
      <c r="I2134" s="16" t="str">
        <f>IF(ISNUMBER(G2134),E2134*G2134,"")</f>
        <v/>
      </c>
      <c r="J2134" s="17"/>
      <c r="K2134" s="18"/>
      <c r="L2134" s="174">
        <v>0</v>
      </c>
    </row>
    <row r="2135" spans="1:12" ht="15.75" hidden="1" thickBot="1" x14ac:dyDescent="0.3">
      <c r="A2135" s="181"/>
      <c r="B2135" s="179"/>
      <c r="C2135" s="20"/>
      <c r="D2135" s="20"/>
      <c r="E2135" s="21"/>
      <c r="F2135" s="22"/>
      <c r="G2135" s="32" t="s">
        <v>1079</v>
      </c>
      <c r="H2135" s="20"/>
      <c r="I2135" s="19" t="str">
        <f>IF(ISNUMBER(G2135),E2135*G2135,"")</f>
        <v/>
      </c>
      <c r="J2135" s="24"/>
      <c r="K2135" s="19"/>
      <c r="L2135" s="174">
        <v>0</v>
      </c>
    </row>
    <row r="2136" spans="1:12" ht="26.25" hidden="1" thickBot="1" x14ac:dyDescent="0.3">
      <c r="A2136" s="181"/>
      <c r="B2136" s="179"/>
      <c r="C2136" s="25" t="s">
        <v>1309</v>
      </c>
      <c r="D2136" s="36" t="s">
        <v>184</v>
      </c>
      <c r="E2136" s="26">
        <v>1.0210999999999999</v>
      </c>
      <c r="F2136" s="27" t="s">
        <v>1267</v>
      </c>
      <c r="G2136" s="23">
        <v>24.718999999999998</v>
      </c>
      <c r="H2136" s="27" t="s">
        <v>1310</v>
      </c>
      <c r="I2136" s="23">
        <f>IF(ISNUMBER(G2136),E2136*G2136,"")</f>
        <v>25.240570899999994</v>
      </c>
      <c r="J2136" s="28">
        <f>SUM(I2136:I2138)</f>
        <v>26.671704099999996</v>
      </c>
      <c r="K2136" s="29"/>
      <c r="L2136" s="174">
        <v>0</v>
      </c>
    </row>
    <row r="2137" spans="1:12" ht="26.25" hidden="1" thickBot="1" x14ac:dyDescent="0.3">
      <c r="A2137" s="181"/>
      <c r="B2137" s="179"/>
      <c r="C2137" s="25" t="s">
        <v>224</v>
      </c>
      <c r="D2137" s="36" t="s">
        <v>21</v>
      </c>
      <c r="E2137" s="26">
        <f>0.061*0.7</f>
        <v>4.2699999999999995E-2</v>
      </c>
      <c r="F2137" s="27" t="s">
        <v>1267</v>
      </c>
      <c r="G2137" s="19">
        <v>14.772500000000001</v>
      </c>
      <c r="H2137" s="27" t="s">
        <v>226</v>
      </c>
      <c r="I2137" s="23">
        <f>IF(ISNUMBER(G2137),E2137*G2137,"")</f>
        <v>0.63078574999999992</v>
      </c>
      <c r="J2137" s="24"/>
      <c r="K2137" s="19"/>
      <c r="L2137" s="174">
        <v>0</v>
      </c>
    </row>
    <row r="2138" spans="1:12" ht="15.75" hidden="1" thickBot="1" x14ac:dyDescent="0.3">
      <c r="A2138" s="181"/>
      <c r="B2138" s="179"/>
      <c r="C2138" s="25" t="s">
        <v>70</v>
      </c>
      <c r="D2138" s="36" t="s">
        <v>21</v>
      </c>
      <c r="E2138" s="26">
        <f>0.061*0.7</f>
        <v>4.2699999999999995E-2</v>
      </c>
      <c r="F2138" s="27" t="s">
        <v>1267</v>
      </c>
      <c r="G2138" s="19">
        <v>18.743500000000001</v>
      </c>
      <c r="H2138" s="27" t="s">
        <v>71</v>
      </c>
      <c r="I2138" s="23">
        <f>IF(ISNUMBER(G2138),E2138*G2138,"")</f>
        <v>0.80034744999999996</v>
      </c>
      <c r="J2138" s="24"/>
      <c r="K2138" s="19"/>
      <c r="L2138" s="174">
        <v>0</v>
      </c>
    </row>
    <row r="2139" spans="1:12" ht="15.75" hidden="1" thickBot="1" x14ac:dyDescent="0.3">
      <c r="A2139" s="181"/>
      <c r="B2139" s="179"/>
      <c r="C2139" s="25"/>
      <c r="D2139" s="36"/>
      <c r="E2139" s="26"/>
      <c r="F2139" s="27"/>
      <c r="G2139" s="19" t="s">
        <v>1079</v>
      </c>
      <c r="H2139" s="27"/>
      <c r="I2139" s="23" t="str">
        <f>IF(ISNUMBER(G2139),E2139*G2139,"")</f>
        <v/>
      </c>
      <c r="J2139" s="24"/>
      <c r="K2139" s="19"/>
      <c r="L2139" s="174">
        <v>0</v>
      </c>
    </row>
    <row r="2140" spans="1:12" ht="39" hidden="1" thickBot="1" x14ac:dyDescent="0.3">
      <c r="A2140" s="181"/>
      <c r="B2140" s="179"/>
      <c r="C2140" s="44" t="s">
        <v>1263</v>
      </c>
      <c r="D2140" s="36"/>
      <c r="E2140" s="26"/>
      <c r="F2140" s="27"/>
      <c r="G2140" s="19" t="s">
        <v>1079</v>
      </c>
      <c r="H2140" s="27"/>
      <c r="I2140" s="23" t="str">
        <f>IF(ISNUMBER(G2140),E2140*G2140,"")</f>
        <v/>
      </c>
      <c r="J2140" s="24"/>
      <c r="K2140" s="19"/>
      <c r="L2140" s="174">
        <v>0</v>
      </c>
    </row>
    <row r="2141" spans="1:12" ht="15.75" hidden="1" thickBot="1" x14ac:dyDescent="0.3">
      <c r="A2141" s="182"/>
      <c r="B2141" s="183"/>
      <c r="C2141" s="25"/>
      <c r="D2141" s="25"/>
      <c r="E2141" s="26"/>
      <c r="F2141" s="27"/>
      <c r="G2141" s="19" t="s">
        <v>1079</v>
      </c>
      <c r="H2141" s="27"/>
      <c r="I2141" s="19" t="str">
        <f>IF(ISNUMBER(G2141),E2141*G2141,"")</f>
        <v/>
      </c>
      <c r="J2141" s="24"/>
      <c r="K2141" s="19"/>
      <c r="L2141" s="174">
        <v>0</v>
      </c>
    </row>
    <row r="2142" spans="1:12" ht="15.75" hidden="1" thickBot="1" x14ac:dyDescent="0.3">
      <c r="A2142" s="180" t="s">
        <v>1311</v>
      </c>
      <c r="B2142" s="178" t="str">
        <f>INDEX(Orçamentária!A:B,MATCH(Composições!A2142,Orçamentária!A:A,0),2)</f>
        <v>Tubo de cobre de 1/4"</v>
      </c>
      <c r="C2142" s="30"/>
      <c r="D2142" s="13" t="str">
        <f>TRIM(INDEX(Orçamentária!C:C,MATCH(Composições!A2142,Orçamentária!A:A,0),1))</f>
        <v>m</v>
      </c>
      <c r="E2142" s="14"/>
      <c r="F2142" s="15" t="s">
        <v>1269</v>
      </c>
      <c r="G2142" s="31" t="s">
        <v>1079</v>
      </c>
      <c r="H2142" s="16"/>
      <c r="I2142" s="16" t="str">
        <f>IF(ISNUMBER(G2142),E2142*G2142,"")</f>
        <v/>
      </c>
      <c r="J2142" s="17"/>
      <c r="K2142" s="18"/>
      <c r="L2142" s="174">
        <v>0</v>
      </c>
    </row>
    <row r="2143" spans="1:12" ht="15.75" hidden="1" thickBot="1" x14ac:dyDescent="0.3">
      <c r="A2143" s="181"/>
      <c r="B2143" s="179"/>
      <c r="C2143" s="20"/>
      <c r="D2143" s="20"/>
      <c r="E2143" s="21"/>
      <c r="F2143" s="22"/>
      <c r="G2143" s="32" t="s">
        <v>1079</v>
      </c>
      <c r="H2143" s="20"/>
      <c r="I2143" s="19" t="str">
        <f>IF(ISNUMBER(G2143),E2143*G2143,"")</f>
        <v/>
      </c>
      <c r="J2143" s="24"/>
      <c r="K2143" s="19"/>
      <c r="L2143" s="174">
        <v>0</v>
      </c>
    </row>
    <row r="2144" spans="1:12" ht="26.25" hidden="1" thickBot="1" x14ac:dyDescent="0.3">
      <c r="A2144" s="181"/>
      <c r="B2144" s="179"/>
      <c r="C2144" s="25" t="s">
        <v>1312</v>
      </c>
      <c r="D2144" s="36" t="s">
        <v>184</v>
      </c>
      <c r="E2144" s="26">
        <v>1.0210999999999999</v>
      </c>
      <c r="F2144" s="27" t="s">
        <v>1271</v>
      </c>
      <c r="G2144" s="23">
        <v>11.846500000000001</v>
      </c>
      <c r="H2144" s="27" t="s">
        <v>1313</v>
      </c>
      <c r="I2144" s="23">
        <f>IF(ISNUMBER(G2144),E2144*G2144,"")</f>
        <v>12.09646115</v>
      </c>
      <c r="J2144" s="28">
        <f>SUM(I2144:I2146)</f>
        <v>13.316443549999999</v>
      </c>
      <c r="K2144" s="29"/>
      <c r="L2144" s="174">
        <v>0</v>
      </c>
    </row>
    <row r="2145" spans="1:12" ht="26.25" hidden="1" thickBot="1" x14ac:dyDescent="0.3">
      <c r="A2145" s="181"/>
      <c r="B2145" s="179"/>
      <c r="C2145" s="25" t="s">
        <v>224</v>
      </c>
      <c r="D2145" s="36" t="s">
        <v>21</v>
      </c>
      <c r="E2145" s="26">
        <f>0.052*0.7</f>
        <v>3.6399999999999995E-2</v>
      </c>
      <c r="F2145" s="27" t="s">
        <v>1271</v>
      </c>
      <c r="G2145" s="19">
        <v>14.772500000000001</v>
      </c>
      <c r="H2145" s="27" t="s">
        <v>226</v>
      </c>
      <c r="I2145" s="23">
        <f>IF(ISNUMBER(G2145),E2145*G2145,"")</f>
        <v>0.53771899999999995</v>
      </c>
      <c r="J2145" s="24"/>
      <c r="K2145" s="19"/>
      <c r="L2145" s="174">
        <v>0</v>
      </c>
    </row>
    <row r="2146" spans="1:12" ht="15.75" hidden="1" thickBot="1" x14ac:dyDescent="0.3">
      <c r="A2146" s="181"/>
      <c r="B2146" s="179"/>
      <c r="C2146" s="25" t="s">
        <v>70</v>
      </c>
      <c r="D2146" s="36" t="s">
        <v>21</v>
      </c>
      <c r="E2146" s="26">
        <f>0.052*0.7</f>
        <v>3.6399999999999995E-2</v>
      </c>
      <c r="F2146" s="27" t="s">
        <v>1271</v>
      </c>
      <c r="G2146" s="19">
        <v>18.743500000000001</v>
      </c>
      <c r="H2146" s="27" t="s">
        <v>71</v>
      </c>
      <c r="I2146" s="23">
        <f>IF(ISNUMBER(G2146),E2146*G2146,"")</f>
        <v>0.68226339999999996</v>
      </c>
      <c r="J2146" s="24"/>
      <c r="K2146" s="19"/>
      <c r="L2146" s="174">
        <v>0</v>
      </c>
    </row>
    <row r="2147" spans="1:12" ht="15.75" hidden="1" thickBot="1" x14ac:dyDescent="0.3">
      <c r="A2147" s="181"/>
      <c r="B2147" s="179"/>
      <c r="C2147" s="25"/>
      <c r="D2147" s="36"/>
      <c r="E2147" s="26"/>
      <c r="F2147" s="27"/>
      <c r="G2147" s="23" t="s">
        <v>1079</v>
      </c>
      <c r="H2147" s="27"/>
      <c r="I2147" s="23" t="str">
        <f>IF(ISNUMBER(G2147),E2147*G2147,"")</f>
        <v/>
      </c>
      <c r="J2147" s="24"/>
      <c r="K2147" s="19"/>
      <c r="L2147" s="174">
        <v>0</v>
      </c>
    </row>
    <row r="2148" spans="1:12" ht="39" hidden="1" thickBot="1" x14ac:dyDescent="0.3">
      <c r="A2148" s="181"/>
      <c r="B2148" s="179"/>
      <c r="C2148" s="44" t="s">
        <v>1263</v>
      </c>
      <c r="D2148" s="36"/>
      <c r="E2148" s="26"/>
      <c r="F2148" s="27"/>
      <c r="G2148" s="23" t="s">
        <v>1079</v>
      </c>
      <c r="H2148" s="27"/>
      <c r="I2148" s="23" t="str">
        <f>IF(ISNUMBER(G2148),E2148*G2148,"")</f>
        <v/>
      </c>
      <c r="J2148" s="24"/>
      <c r="K2148" s="19"/>
      <c r="L2148" s="174">
        <v>0</v>
      </c>
    </row>
    <row r="2149" spans="1:12" ht="15.75" hidden="1" thickBot="1" x14ac:dyDescent="0.3">
      <c r="A2149" s="182"/>
      <c r="B2149" s="183"/>
      <c r="C2149" s="25"/>
      <c r="D2149" s="25"/>
      <c r="E2149" s="26"/>
      <c r="F2149" s="27"/>
      <c r="G2149" s="19" t="s">
        <v>1079</v>
      </c>
      <c r="H2149" s="27"/>
      <c r="I2149" s="19" t="str">
        <f>IF(ISNUMBER(G2149),E2149*G2149,"")</f>
        <v/>
      </c>
      <c r="J2149" s="24"/>
      <c r="K2149" s="19"/>
      <c r="L2149" s="174">
        <v>0</v>
      </c>
    </row>
    <row r="2150" spans="1:12" ht="15.75" hidden="1" thickBot="1" x14ac:dyDescent="0.3">
      <c r="A2150" s="180" t="s">
        <v>1314</v>
      </c>
      <c r="B2150" s="178" t="str">
        <f>INDEX(Orçamentária!A:B,MATCH(Composições!A2150,Orçamentária!A:A,0),2)</f>
        <v>Tubo de cobre de 3/4"</v>
      </c>
      <c r="C2150" s="30"/>
      <c r="D2150" s="13" t="str">
        <f>TRIM(INDEX(Orçamentária!C:C,MATCH(Composições!A2150,Orçamentária!A:A,0),1))</f>
        <v>m</v>
      </c>
      <c r="E2150" s="14"/>
      <c r="F2150" s="15" t="s">
        <v>1260</v>
      </c>
      <c r="G2150" s="31" t="s">
        <v>1079</v>
      </c>
      <c r="H2150" s="16"/>
      <c r="I2150" s="16" t="str">
        <f>IF(ISNUMBER(G2150),E2150*G2150,"")</f>
        <v/>
      </c>
      <c r="J2150" s="17"/>
      <c r="K2150" s="18"/>
      <c r="L2150" s="174">
        <v>0</v>
      </c>
    </row>
    <row r="2151" spans="1:12" ht="15.75" hidden="1" thickBot="1" x14ac:dyDescent="0.3">
      <c r="A2151" s="181"/>
      <c r="B2151" s="179"/>
      <c r="C2151" s="20"/>
      <c r="D2151" s="20"/>
      <c r="E2151" s="21"/>
      <c r="F2151" s="22"/>
      <c r="G2151" s="32" t="s">
        <v>1079</v>
      </c>
      <c r="H2151" s="20"/>
      <c r="I2151" s="19" t="str">
        <f>IF(ISNUMBER(G2151),E2151*G2151,"")</f>
        <v/>
      </c>
      <c r="J2151" s="24"/>
      <c r="K2151" s="19"/>
      <c r="L2151" s="174">
        <v>0</v>
      </c>
    </row>
    <row r="2152" spans="1:12" ht="26.25" hidden="1" thickBot="1" x14ac:dyDescent="0.3">
      <c r="A2152" s="181"/>
      <c r="B2152" s="179"/>
      <c r="C2152" s="25" t="s">
        <v>1315</v>
      </c>
      <c r="D2152" s="36" t="s">
        <v>184</v>
      </c>
      <c r="E2152" s="26">
        <v>1.0210999999999999</v>
      </c>
      <c r="F2152" s="27" t="s">
        <v>1262</v>
      </c>
      <c r="G2152" s="23">
        <v>37.183</v>
      </c>
      <c r="H2152" s="27" t="s">
        <v>1316</v>
      </c>
      <c r="I2152" s="23">
        <f>IF(ISNUMBER(G2152),E2152*G2152,"")</f>
        <v>37.967561299999993</v>
      </c>
      <c r="J2152" s="28">
        <f>SUM(I2152:I2154)</f>
        <v>39.46907809999999</v>
      </c>
      <c r="K2152" s="29"/>
      <c r="L2152" s="174">
        <v>0</v>
      </c>
    </row>
    <row r="2153" spans="1:12" ht="26.25" hidden="1" thickBot="1" x14ac:dyDescent="0.3">
      <c r="A2153" s="181"/>
      <c r="B2153" s="179"/>
      <c r="C2153" s="25" t="s">
        <v>224</v>
      </c>
      <c r="D2153" s="36" t="s">
        <v>21</v>
      </c>
      <c r="E2153" s="26">
        <f>0.064*0.7</f>
        <v>4.48E-2</v>
      </c>
      <c r="F2153" s="27" t="s">
        <v>1262</v>
      </c>
      <c r="G2153" s="19">
        <v>14.772500000000001</v>
      </c>
      <c r="H2153" s="27" t="s">
        <v>226</v>
      </c>
      <c r="I2153" s="23">
        <f>IF(ISNUMBER(G2153),E2153*G2153,"")</f>
        <v>0.66180800000000006</v>
      </c>
      <c r="J2153" s="24"/>
      <c r="K2153" s="19"/>
      <c r="L2153" s="174">
        <v>0</v>
      </c>
    </row>
    <row r="2154" spans="1:12" ht="15.75" hidden="1" thickBot="1" x14ac:dyDescent="0.3">
      <c r="A2154" s="181"/>
      <c r="B2154" s="179"/>
      <c r="C2154" s="25" t="s">
        <v>70</v>
      </c>
      <c r="D2154" s="36" t="s">
        <v>21</v>
      </c>
      <c r="E2154" s="26">
        <f>0.064*0.7</f>
        <v>4.48E-2</v>
      </c>
      <c r="F2154" s="27" t="s">
        <v>1262</v>
      </c>
      <c r="G2154" s="19">
        <v>18.743500000000001</v>
      </c>
      <c r="H2154" s="27" t="s">
        <v>71</v>
      </c>
      <c r="I2154" s="23">
        <f>IF(ISNUMBER(G2154),E2154*G2154,"")</f>
        <v>0.83970880000000003</v>
      </c>
      <c r="J2154" s="24"/>
      <c r="K2154" s="19"/>
      <c r="L2154" s="174">
        <v>0</v>
      </c>
    </row>
    <row r="2155" spans="1:12" ht="15.75" hidden="1" thickBot="1" x14ac:dyDescent="0.3">
      <c r="A2155" s="181"/>
      <c r="B2155" s="179"/>
      <c r="C2155" s="25"/>
      <c r="D2155" s="36"/>
      <c r="E2155" s="26"/>
      <c r="F2155" s="27"/>
      <c r="G2155" s="23" t="s">
        <v>1079</v>
      </c>
      <c r="H2155" s="27"/>
      <c r="I2155" s="23" t="str">
        <f>IF(ISNUMBER(G2155),E2155*G2155,"")</f>
        <v/>
      </c>
      <c r="J2155" s="24"/>
      <c r="K2155" s="19"/>
      <c r="L2155" s="174">
        <v>0</v>
      </c>
    </row>
    <row r="2156" spans="1:12" ht="39" hidden="1" thickBot="1" x14ac:dyDescent="0.3">
      <c r="A2156" s="181"/>
      <c r="B2156" s="179"/>
      <c r="C2156" s="44" t="s">
        <v>1263</v>
      </c>
      <c r="D2156" s="36"/>
      <c r="E2156" s="26"/>
      <c r="F2156" s="27"/>
      <c r="G2156" s="23" t="s">
        <v>1079</v>
      </c>
      <c r="H2156" s="27"/>
      <c r="I2156" s="23" t="str">
        <f>IF(ISNUMBER(G2156),E2156*G2156,"")</f>
        <v/>
      </c>
      <c r="J2156" s="24"/>
      <c r="K2156" s="19"/>
      <c r="L2156" s="174">
        <v>0</v>
      </c>
    </row>
    <row r="2157" spans="1:12" ht="15.75" hidden="1" thickBot="1" x14ac:dyDescent="0.3">
      <c r="A2157" s="182"/>
      <c r="B2157" s="183"/>
      <c r="C2157" s="25"/>
      <c r="D2157" s="25"/>
      <c r="E2157" s="26"/>
      <c r="F2157" s="27"/>
      <c r="G2157" s="19" t="s">
        <v>1079</v>
      </c>
      <c r="H2157" s="27"/>
      <c r="I2157" s="19" t="str">
        <f>IF(ISNUMBER(G2157),E2157*G2157,"")</f>
        <v/>
      </c>
      <c r="J2157" s="24"/>
      <c r="K2157" s="19"/>
      <c r="L2157" s="174">
        <v>0</v>
      </c>
    </row>
    <row r="2158" spans="1:12" ht="15.75" hidden="1" thickBot="1" x14ac:dyDescent="0.3">
      <c r="A2158" s="180" t="s">
        <v>1317</v>
      </c>
      <c r="B2158" s="178" t="str">
        <f>INDEX(Orçamentária!A:B,MATCH(Composições!A2158,Orçamentária!A:A,0),2)</f>
        <v>Tubo de cobre de 3/8"</v>
      </c>
      <c r="C2158" s="30"/>
      <c r="D2158" s="13" t="str">
        <f>TRIM(INDEX(Orçamentária!C:C,MATCH(Composições!A2158,Orçamentária!A:A,0),1))</f>
        <v>m</v>
      </c>
      <c r="E2158" s="14"/>
      <c r="F2158" s="15" t="s">
        <v>1275</v>
      </c>
      <c r="G2158" s="31" t="s">
        <v>1079</v>
      </c>
      <c r="H2158" s="16"/>
      <c r="I2158" s="16" t="str">
        <f>IF(ISNUMBER(G2158),E2158*G2158,"")</f>
        <v/>
      </c>
      <c r="J2158" s="17"/>
      <c r="K2158" s="18"/>
      <c r="L2158" s="174">
        <v>0</v>
      </c>
    </row>
    <row r="2159" spans="1:12" ht="15.75" hidden="1" thickBot="1" x14ac:dyDescent="0.3">
      <c r="A2159" s="181"/>
      <c r="B2159" s="179"/>
      <c r="C2159" s="20"/>
      <c r="D2159" s="20"/>
      <c r="E2159" s="21"/>
      <c r="F2159" s="22"/>
      <c r="G2159" s="32" t="s">
        <v>1079</v>
      </c>
      <c r="H2159" s="20"/>
      <c r="I2159" s="19" t="str">
        <f>IF(ISNUMBER(G2159),E2159*G2159,"")</f>
        <v/>
      </c>
      <c r="J2159" s="24"/>
      <c r="K2159" s="19"/>
      <c r="L2159" s="174">
        <v>0</v>
      </c>
    </row>
    <row r="2160" spans="1:12" ht="26.25" hidden="1" thickBot="1" x14ac:dyDescent="0.3">
      <c r="A2160" s="181"/>
      <c r="B2160" s="179"/>
      <c r="C2160" s="25" t="s">
        <v>1318</v>
      </c>
      <c r="D2160" s="36" t="s">
        <v>184</v>
      </c>
      <c r="E2160" s="26">
        <v>1.0210999999999999</v>
      </c>
      <c r="F2160" s="27" t="s">
        <v>1277</v>
      </c>
      <c r="G2160" s="23">
        <v>18.221</v>
      </c>
      <c r="H2160" s="27" t="s">
        <v>1319</v>
      </c>
      <c r="I2160" s="23">
        <f>IF(ISNUMBER(G2160),E2160*G2160,"")</f>
        <v>18.605463099999998</v>
      </c>
      <c r="J2160" s="28">
        <f>SUM(I2160:I2162)</f>
        <v>19.9427515</v>
      </c>
      <c r="K2160" s="29"/>
      <c r="L2160" s="174">
        <v>0</v>
      </c>
    </row>
    <row r="2161" spans="1:12" ht="26.25" hidden="1" thickBot="1" x14ac:dyDescent="0.3">
      <c r="A2161" s="181"/>
      <c r="B2161" s="179"/>
      <c r="C2161" s="25" t="s">
        <v>224</v>
      </c>
      <c r="D2161" s="36" t="s">
        <v>21</v>
      </c>
      <c r="E2161" s="26">
        <f>0.057*0.7</f>
        <v>3.9899999999999998E-2</v>
      </c>
      <c r="F2161" s="27" t="s">
        <v>1277</v>
      </c>
      <c r="G2161" s="19">
        <v>14.772500000000001</v>
      </c>
      <c r="H2161" s="27" t="s">
        <v>226</v>
      </c>
      <c r="I2161" s="23">
        <f>IF(ISNUMBER(G2161),E2161*G2161,"")</f>
        <v>0.58942275</v>
      </c>
      <c r="J2161" s="24"/>
      <c r="K2161" s="19"/>
      <c r="L2161" s="174">
        <v>0</v>
      </c>
    </row>
    <row r="2162" spans="1:12" ht="15.75" hidden="1" thickBot="1" x14ac:dyDescent="0.3">
      <c r="A2162" s="181"/>
      <c r="B2162" s="179"/>
      <c r="C2162" s="25" t="s">
        <v>70</v>
      </c>
      <c r="D2162" s="36" t="s">
        <v>21</v>
      </c>
      <c r="E2162" s="26">
        <f>0.057*0.7</f>
        <v>3.9899999999999998E-2</v>
      </c>
      <c r="F2162" s="27" t="s">
        <v>1277</v>
      </c>
      <c r="G2162" s="19">
        <v>18.743500000000001</v>
      </c>
      <c r="H2162" s="27" t="s">
        <v>71</v>
      </c>
      <c r="I2162" s="23">
        <f>IF(ISNUMBER(G2162),E2162*G2162,"")</f>
        <v>0.74786565000000005</v>
      </c>
      <c r="J2162" s="24"/>
      <c r="K2162" s="19"/>
      <c r="L2162" s="174">
        <v>0</v>
      </c>
    </row>
    <row r="2163" spans="1:12" ht="15.75" hidden="1" thickBot="1" x14ac:dyDescent="0.3">
      <c r="A2163" s="181"/>
      <c r="B2163" s="179"/>
      <c r="C2163" s="25"/>
      <c r="D2163" s="36"/>
      <c r="E2163" s="26"/>
      <c r="F2163" s="27"/>
      <c r="G2163" s="23" t="s">
        <v>1079</v>
      </c>
      <c r="H2163" s="27"/>
      <c r="I2163" s="23" t="str">
        <f>IF(ISNUMBER(G2163),E2163*G2163,"")</f>
        <v/>
      </c>
      <c r="J2163" s="24"/>
      <c r="K2163" s="19"/>
      <c r="L2163" s="174">
        <v>0</v>
      </c>
    </row>
    <row r="2164" spans="1:12" ht="39" hidden="1" thickBot="1" x14ac:dyDescent="0.3">
      <c r="A2164" s="181"/>
      <c r="B2164" s="179"/>
      <c r="C2164" s="44" t="s">
        <v>1263</v>
      </c>
      <c r="D2164" s="36"/>
      <c r="E2164" s="26"/>
      <c r="F2164" s="27"/>
      <c r="G2164" s="23" t="s">
        <v>1079</v>
      </c>
      <c r="H2164" s="27"/>
      <c r="I2164" s="23" t="str">
        <f>IF(ISNUMBER(G2164),E2164*G2164,"")</f>
        <v/>
      </c>
      <c r="J2164" s="24"/>
      <c r="K2164" s="19"/>
      <c r="L2164" s="174">
        <v>0</v>
      </c>
    </row>
    <row r="2165" spans="1:12" ht="15.75" hidden="1" thickBot="1" x14ac:dyDescent="0.3">
      <c r="A2165" s="182"/>
      <c r="B2165" s="183"/>
      <c r="C2165" s="25"/>
      <c r="D2165" s="25"/>
      <c r="E2165" s="26"/>
      <c r="F2165" s="27"/>
      <c r="G2165" s="19" t="s">
        <v>1079</v>
      </c>
      <c r="H2165" s="27"/>
      <c r="I2165" s="19" t="str">
        <f>IF(ISNUMBER(G2165),E2165*G2165,"")</f>
        <v/>
      </c>
      <c r="J2165" s="24"/>
      <c r="K2165" s="19"/>
      <c r="L2165" s="174">
        <v>0</v>
      </c>
    </row>
    <row r="2166" spans="1:12" ht="15.75" hidden="1" thickBot="1" x14ac:dyDescent="0.3">
      <c r="A2166" s="180" t="s">
        <v>1320</v>
      </c>
      <c r="B2166" s="178" t="str">
        <f>INDEX(Orçamentária!A:B,MATCH(Composições!A2166,Orçamentária!A:A,0),2)</f>
        <v>Tubo de cobre de 5/8"</v>
      </c>
      <c r="C2166" s="30"/>
      <c r="D2166" s="13" t="str">
        <f>TRIM(INDEX(Orçamentária!C:C,MATCH(Composições!A2166,Orçamentária!A:A,0),1))</f>
        <v>m</v>
      </c>
      <c r="E2166" s="14"/>
      <c r="F2166" s="15" t="s">
        <v>1260</v>
      </c>
      <c r="G2166" s="31" t="s">
        <v>1079</v>
      </c>
      <c r="H2166" s="16"/>
      <c r="I2166" s="16" t="str">
        <f>IF(ISNUMBER(G2166),E2166*G2166,"")</f>
        <v/>
      </c>
      <c r="J2166" s="17"/>
      <c r="K2166" s="18"/>
      <c r="L2166" s="174">
        <v>0</v>
      </c>
    </row>
    <row r="2167" spans="1:12" ht="15.75" hidden="1" thickBot="1" x14ac:dyDescent="0.3">
      <c r="A2167" s="181"/>
      <c r="B2167" s="179"/>
      <c r="C2167" s="20"/>
      <c r="D2167" s="20"/>
      <c r="E2167" s="21"/>
      <c r="F2167" s="22"/>
      <c r="G2167" s="32" t="s">
        <v>1079</v>
      </c>
      <c r="H2167" s="20"/>
      <c r="I2167" s="19" t="str">
        <f>IF(ISNUMBER(G2167),E2167*G2167,"")</f>
        <v/>
      </c>
      <c r="J2167" s="24"/>
      <c r="K2167" s="19"/>
      <c r="L2167" s="174">
        <v>0</v>
      </c>
    </row>
    <row r="2168" spans="1:12" ht="26.25" hidden="1" thickBot="1" x14ac:dyDescent="0.3">
      <c r="A2168" s="181"/>
      <c r="B2168" s="179"/>
      <c r="C2168" s="25" t="s">
        <v>1321</v>
      </c>
      <c r="D2168" s="36" t="s">
        <v>184</v>
      </c>
      <c r="E2168" s="26">
        <v>1.0210999999999999</v>
      </c>
      <c r="F2168" s="27" t="s">
        <v>1262</v>
      </c>
      <c r="G2168" s="23">
        <v>30.741999999999997</v>
      </c>
      <c r="H2168" s="27" t="s">
        <v>1322</v>
      </c>
      <c r="I2168" s="23">
        <f>IF(ISNUMBER(G2168),E2168*G2168,"")</f>
        <v>31.390656199999995</v>
      </c>
      <c r="J2168" s="28">
        <f>SUM(I2168:I2170)</f>
        <v>32.892172999999993</v>
      </c>
      <c r="K2168" s="29"/>
      <c r="L2168" s="174">
        <v>0</v>
      </c>
    </row>
    <row r="2169" spans="1:12" ht="26.25" hidden="1" thickBot="1" x14ac:dyDescent="0.3">
      <c r="A2169" s="181"/>
      <c r="B2169" s="179"/>
      <c r="C2169" s="25" t="s">
        <v>224</v>
      </c>
      <c r="D2169" s="36" t="s">
        <v>21</v>
      </c>
      <c r="E2169" s="26">
        <f>0.064*0.7</f>
        <v>4.48E-2</v>
      </c>
      <c r="F2169" s="27" t="s">
        <v>1262</v>
      </c>
      <c r="G2169" s="19">
        <v>14.772500000000001</v>
      </c>
      <c r="H2169" s="27" t="s">
        <v>226</v>
      </c>
      <c r="I2169" s="23">
        <f>IF(ISNUMBER(G2169),E2169*G2169,"")</f>
        <v>0.66180800000000006</v>
      </c>
      <c r="J2169" s="24"/>
      <c r="K2169" s="19"/>
      <c r="L2169" s="174">
        <v>0</v>
      </c>
    </row>
    <row r="2170" spans="1:12" ht="15.75" hidden="1" thickBot="1" x14ac:dyDescent="0.3">
      <c r="A2170" s="181"/>
      <c r="B2170" s="179"/>
      <c r="C2170" s="25" t="s">
        <v>70</v>
      </c>
      <c r="D2170" s="36" t="s">
        <v>21</v>
      </c>
      <c r="E2170" s="26">
        <f>0.064*0.7</f>
        <v>4.48E-2</v>
      </c>
      <c r="F2170" s="27" t="s">
        <v>1262</v>
      </c>
      <c r="G2170" s="19">
        <v>18.743500000000001</v>
      </c>
      <c r="H2170" s="27" t="s">
        <v>71</v>
      </c>
      <c r="I2170" s="23">
        <f>IF(ISNUMBER(G2170),E2170*G2170,"")</f>
        <v>0.83970880000000003</v>
      </c>
      <c r="J2170" s="24"/>
      <c r="K2170" s="19"/>
      <c r="L2170" s="174">
        <v>0</v>
      </c>
    </row>
    <row r="2171" spans="1:12" ht="15.75" hidden="1" thickBot="1" x14ac:dyDescent="0.3">
      <c r="A2171" s="181"/>
      <c r="B2171" s="179"/>
      <c r="C2171" s="25"/>
      <c r="D2171" s="36"/>
      <c r="E2171" s="26"/>
      <c r="F2171" s="27"/>
      <c r="G2171" s="23" t="s">
        <v>1079</v>
      </c>
      <c r="H2171" s="27"/>
      <c r="I2171" s="23" t="str">
        <f>IF(ISNUMBER(G2171),E2171*G2171,"")</f>
        <v/>
      </c>
      <c r="J2171" s="24"/>
      <c r="K2171" s="19"/>
      <c r="L2171" s="174">
        <v>0</v>
      </c>
    </row>
    <row r="2172" spans="1:12" ht="39" hidden="1" thickBot="1" x14ac:dyDescent="0.3">
      <c r="A2172" s="181"/>
      <c r="B2172" s="179"/>
      <c r="C2172" s="44" t="s">
        <v>1263</v>
      </c>
      <c r="D2172" s="36"/>
      <c r="E2172" s="26"/>
      <c r="F2172" s="27"/>
      <c r="G2172" s="23" t="s">
        <v>1079</v>
      </c>
      <c r="H2172" s="27"/>
      <c r="I2172" s="23" t="str">
        <f>IF(ISNUMBER(G2172),E2172*G2172,"")</f>
        <v/>
      </c>
      <c r="J2172" s="24"/>
      <c r="K2172" s="19"/>
      <c r="L2172" s="174">
        <v>0</v>
      </c>
    </row>
    <row r="2173" spans="1:12" ht="15.75" hidden="1" thickBot="1" x14ac:dyDescent="0.3">
      <c r="A2173" s="182"/>
      <c r="B2173" s="183"/>
      <c r="C2173" s="25"/>
      <c r="D2173" s="25"/>
      <c r="E2173" s="26"/>
      <c r="F2173" s="27"/>
      <c r="G2173" s="19" t="s">
        <v>1079</v>
      </c>
      <c r="H2173" s="27"/>
      <c r="I2173" s="19" t="str">
        <f>IF(ISNUMBER(G2173),E2173*G2173,"")</f>
        <v/>
      </c>
      <c r="J2173" s="24"/>
      <c r="K2173" s="19"/>
      <c r="L2173" s="174">
        <v>0</v>
      </c>
    </row>
    <row r="2174" spans="1:12" ht="15.75" hidden="1" thickBot="1" x14ac:dyDescent="0.3">
      <c r="A2174" s="180" t="s">
        <v>1323</v>
      </c>
      <c r="B2174" s="178" t="str">
        <f>INDEX(Orçamentária!A:B,MATCH(Composições!A2174,Orçamentária!A:A,0),2)</f>
        <v>Tubo de cobre de 7/8"</v>
      </c>
      <c r="C2174" s="30"/>
      <c r="D2174" s="13" t="str">
        <f>TRIM(INDEX(Orçamentária!C:C,MATCH(Composições!A2174,Orçamentária!A:A,0),1))</f>
        <v>m</v>
      </c>
      <c r="E2174" s="14"/>
      <c r="F2174" s="15" t="s">
        <v>1260</v>
      </c>
      <c r="G2174" s="31" t="s">
        <v>1079</v>
      </c>
      <c r="H2174" s="16"/>
      <c r="I2174" s="16" t="str">
        <f>IF(ISNUMBER(G2174),E2174*G2174,"")</f>
        <v/>
      </c>
      <c r="J2174" s="17"/>
      <c r="K2174" s="18"/>
      <c r="L2174" s="174">
        <v>0</v>
      </c>
    </row>
    <row r="2175" spans="1:12" ht="15.75" hidden="1" thickBot="1" x14ac:dyDescent="0.3">
      <c r="A2175" s="181"/>
      <c r="B2175" s="179"/>
      <c r="C2175" s="20"/>
      <c r="D2175" s="20"/>
      <c r="E2175" s="21"/>
      <c r="F2175" s="22"/>
      <c r="G2175" s="32" t="s">
        <v>1079</v>
      </c>
      <c r="H2175" s="20"/>
      <c r="I2175" s="19" t="str">
        <f>IF(ISNUMBER(G2175),E2175*G2175,"")</f>
        <v/>
      </c>
      <c r="J2175" s="24"/>
      <c r="K2175" s="19"/>
      <c r="L2175" s="174">
        <v>0</v>
      </c>
    </row>
    <row r="2176" spans="1:12" ht="26.25" hidden="1" thickBot="1" x14ac:dyDescent="0.3">
      <c r="A2176" s="181"/>
      <c r="B2176" s="179"/>
      <c r="C2176" s="25" t="s">
        <v>1324</v>
      </c>
      <c r="D2176" s="36" t="s">
        <v>184</v>
      </c>
      <c r="E2176" s="26">
        <v>1.0210999999999999</v>
      </c>
      <c r="F2176" s="27" t="s">
        <v>1262</v>
      </c>
      <c r="G2176" s="23">
        <v>0</v>
      </c>
      <c r="H2176" s="27" t="s">
        <v>1325</v>
      </c>
      <c r="I2176" s="23">
        <f>IF(ISNUMBER(G2176),E2176*G2176,"")</f>
        <v>0</v>
      </c>
      <c r="J2176" s="28">
        <f>SUM(I2176:I2178)</f>
        <v>1.5015168000000001</v>
      </c>
      <c r="K2176" s="29"/>
      <c r="L2176" s="174">
        <v>0</v>
      </c>
    </row>
    <row r="2177" spans="1:12" ht="26.25" hidden="1" thickBot="1" x14ac:dyDescent="0.3">
      <c r="A2177" s="181"/>
      <c r="B2177" s="179"/>
      <c r="C2177" s="25" t="s">
        <v>224</v>
      </c>
      <c r="D2177" s="36" t="s">
        <v>21</v>
      </c>
      <c r="E2177" s="26">
        <f>0.064*0.7</f>
        <v>4.48E-2</v>
      </c>
      <c r="F2177" s="27" t="s">
        <v>1262</v>
      </c>
      <c r="G2177" s="19">
        <v>14.772500000000001</v>
      </c>
      <c r="H2177" s="27" t="s">
        <v>226</v>
      </c>
      <c r="I2177" s="23">
        <f>IF(ISNUMBER(G2177),E2177*G2177,"")</f>
        <v>0.66180800000000006</v>
      </c>
      <c r="J2177" s="24"/>
      <c r="K2177" s="19"/>
      <c r="L2177" s="174">
        <v>0</v>
      </c>
    </row>
    <row r="2178" spans="1:12" ht="15.75" hidden="1" thickBot="1" x14ac:dyDescent="0.3">
      <c r="A2178" s="181"/>
      <c r="B2178" s="179"/>
      <c r="C2178" s="25" t="s">
        <v>70</v>
      </c>
      <c r="D2178" s="36" t="s">
        <v>21</v>
      </c>
      <c r="E2178" s="26">
        <f>0.064*0.7</f>
        <v>4.48E-2</v>
      </c>
      <c r="F2178" s="27" t="s">
        <v>1262</v>
      </c>
      <c r="G2178" s="19">
        <v>18.743500000000001</v>
      </c>
      <c r="H2178" s="27" t="s">
        <v>71</v>
      </c>
      <c r="I2178" s="23">
        <f>IF(ISNUMBER(G2178),E2178*G2178,"")</f>
        <v>0.83970880000000003</v>
      </c>
      <c r="J2178" s="24"/>
      <c r="K2178" s="19"/>
      <c r="L2178" s="174">
        <v>0</v>
      </c>
    </row>
    <row r="2179" spans="1:12" ht="15.75" hidden="1" thickBot="1" x14ac:dyDescent="0.3">
      <c r="A2179" s="181"/>
      <c r="B2179" s="179"/>
      <c r="C2179" s="25"/>
      <c r="D2179" s="36"/>
      <c r="E2179" s="26"/>
      <c r="F2179" s="27"/>
      <c r="G2179" s="23" t="s">
        <v>1079</v>
      </c>
      <c r="H2179" s="27"/>
      <c r="I2179" s="23" t="str">
        <f>IF(ISNUMBER(G2179),E2179*G2179,"")</f>
        <v/>
      </c>
      <c r="J2179" s="24"/>
      <c r="K2179" s="19"/>
      <c r="L2179" s="174">
        <v>0</v>
      </c>
    </row>
    <row r="2180" spans="1:12" ht="39" hidden="1" thickBot="1" x14ac:dyDescent="0.3">
      <c r="A2180" s="181"/>
      <c r="B2180" s="179"/>
      <c r="C2180" s="44" t="s">
        <v>1263</v>
      </c>
      <c r="D2180" s="36"/>
      <c r="E2180" s="26"/>
      <c r="F2180" s="27"/>
      <c r="G2180" s="23" t="s">
        <v>1079</v>
      </c>
      <c r="H2180" s="27"/>
      <c r="I2180" s="23" t="str">
        <f>IF(ISNUMBER(G2180),E2180*G2180,"")</f>
        <v/>
      </c>
      <c r="J2180" s="24"/>
      <c r="K2180" s="19"/>
      <c r="L2180" s="174">
        <v>0</v>
      </c>
    </row>
    <row r="2181" spans="1:12" ht="15.75" hidden="1" thickBot="1" x14ac:dyDescent="0.3">
      <c r="A2181" s="182"/>
      <c r="B2181" s="183"/>
      <c r="C2181" s="25"/>
      <c r="D2181" s="25"/>
      <c r="E2181" s="26"/>
      <c r="F2181" s="27"/>
      <c r="G2181" s="19" t="s">
        <v>1079</v>
      </c>
      <c r="H2181" s="27"/>
      <c r="I2181" s="19" t="str">
        <f>IF(ISNUMBER(G2181),E2181*G2181,"")</f>
        <v/>
      </c>
      <c r="J2181" s="24"/>
      <c r="K2181" s="19"/>
      <c r="L2181" s="174">
        <v>0</v>
      </c>
    </row>
    <row r="2182" spans="1:12" ht="15.75" hidden="1" thickBot="1" x14ac:dyDescent="0.3">
      <c r="A2182" s="180" t="s">
        <v>1326</v>
      </c>
      <c r="B2182" s="178" t="str">
        <f>INDEX(Orçamentária!A:B,MATCH(Composições!A2182,Orçamentária!A:A,0),2)</f>
        <v>Tubo de cobre de 1"</v>
      </c>
      <c r="C2182" s="30"/>
      <c r="D2182" s="13" t="str">
        <f>TRIM(INDEX(Orçamentária!C:C,MATCH(Composições!A2182,Orçamentária!A:A,0),1))</f>
        <v>m</v>
      </c>
      <c r="E2182" s="14"/>
      <c r="F2182" s="15" t="s">
        <v>1260</v>
      </c>
      <c r="G2182" s="31" t="s">
        <v>1079</v>
      </c>
      <c r="H2182" s="16"/>
      <c r="I2182" s="16" t="str">
        <f>IF(ISNUMBER(G2182),E2182*G2182,"")</f>
        <v/>
      </c>
      <c r="J2182" s="17"/>
      <c r="K2182" s="18"/>
      <c r="L2182" s="174">
        <v>0</v>
      </c>
    </row>
    <row r="2183" spans="1:12" ht="15.75" hidden="1" thickBot="1" x14ac:dyDescent="0.3">
      <c r="A2183" s="181"/>
      <c r="B2183" s="179"/>
      <c r="C2183" s="20"/>
      <c r="D2183" s="20"/>
      <c r="E2183" s="21"/>
      <c r="F2183" s="22"/>
      <c r="G2183" s="32" t="s">
        <v>1079</v>
      </c>
      <c r="H2183" s="20"/>
      <c r="I2183" s="19" t="str">
        <f>IF(ISNUMBER(G2183),E2183*G2183,"")</f>
        <v/>
      </c>
      <c r="J2183" s="24"/>
      <c r="K2183" s="19"/>
      <c r="L2183" s="174">
        <v>0</v>
      </c>
    </row>
    <row r="2184" spans="1:12" ht="26.25" hidden="1" thickBot="1" x14ac:dyDescent="0.3">
      <c r="A2184" s="181"/>
      <c r="B2184" s="179"/>
      <c r="C2184" s="25" t="s">
        <v>1327</v>
      </c>
      <c r="D2184" s="36" t="s">
        <v>184</v>
      </c>
      <c r="E2184" s="26">
        <v>1.0210999999999999</v>
      </c>
      <c r="F2184" s="27" t="s">
        <v>1262</v>
      </c>
      <c r="G2184" s="23">
        <v>0</v>
      </c>
      <c r="H2184" s="27" t="s">
        <v>1328</v>
      </c>
      <c r="I2184" s="23">
        <f>IF(ISNUMBER(G2184),E2184*G2184,"")</f>
        <v>0</v>
      </c>
      <c r="J2184" s="28">
        <f>SUM(I2184:I2186)</f>
        <v>1.5015168000000001</v>
      </c>
      <c r="K2184" s="29"/>
      <c r="L2184" s="174">
        <v>0</v>
      </c>
    </row>
    <row r="2185" spans="1:12" ht="26.25" hidden="1" thickBot="1" x14ac:dyDescent="0.3">
      <c r="A2185" s="181"/>
      <c r="B2185" s="179"/>
      <c r="C2185" s="25" t="s">
        <v>224</v>
      </c>
      <c r="D2185" s="36" t="s">
        <v>21</v>
      </c>
      <c r="E2185" s="26">
        <f>0.064*0.7</f>
        <v>4.48E-2</v>
      </c>
      <c r="F2185" s="27" t="s">
        <v>1262</v>
      </c>
      <c r="G2185" s="19">
        <v>14.772500000000001</v>
      </c>
      <c r="H2185" s="27" t="s">
        <v>226</v>
      </c>
      <c r="I2185" s="23">
        <f>IF(ISNUMBER(G2185),E2185*G2185,"")</f>
        <v>0.66180800000000006</v>
      </c>
      <c r="J2185" s="24"/>
      <c r="K2185" s="19"/>
      <c r="L2185" s="174">
        <v>0</v>
      </c>
    </row>
    <row r="2186" spans="1:12" ht="15.75" hidden="1" thickBot="1" x14ac:dyDescent="0.3">
      <c r="A2186" s="181"/>
      <c r="B2186" s="179"/>
      <c r="C2186" s="25" t="s">
        <v>70</v>
      </c>
      <c r="D2186" s="36" t="s">
        <v>21</v>
      </c>
      <c r="E2186" s="26">
        <f>0.064*0.7</f>
        <v>4.48E-2</v>
      </c>
      <c r="F2186" s="27" t="s">
        <v>1262</v>
      </c>
      <c r="G2186" s="19">
        <v>18.743500000000001</v>
      </c>
      <c r="H2186" s="27" t="s">
        <v>71</v>
      </c>
      <c r="I2186" s="23">
        <f>IF(ISNUMBER(G2186),E2186*G2186,"")</f>
        <v>0.83970880000000003</v>
      </c>
      <c r="J2186" s="24"/>
      <c r="K2186" s="19"/>
      <c r="L2186" s="174">
        <v>0</v>
      </c>
    </row>
    <row r="2187" spans="1:12" ht="15.75" hidden="1" thickBot="1" x14ac:dyDescent="0.3">
      <c r="A2187" s="181"/>
      <c r="B2187" s="179"/>
      <c r="C2187" s="25"/>
      <c r="D2187" s="36"/>
      <c r="E2187" s="26"/>
      <c r="F2187" s="27"/>
      <c r="G2187" s="23" t="s">
        <v>1079</v>
      </c>
      <c r="H2187" s="27"/>
      <c r="I2187" s="23" t="str">
        <f>IF(ISNUMBER(G2187),E2187*G2187,"")</f>
        <v/>
      </c>
      <c r="J2187" s="24"/>
      <c r="K2187" s="19"/>
      <c r="L2187" s="174">
        <v>0</v>
      </c>
    </row>
    <row r="2188" spans="1:12" ht="39" hidden="1" thickBot="1" x14ac:dyDescent="0.3">
      <c r="A2188" s="181"/>
      <c r="B2188" s="179"/>
      <c r="C2188" s="44" t="s">
        <v>1263</v>
      </c>
      <c r="D2188" s="36"/>
      <c r="E2188" s="26"/>
      <c r="F2188" s="27"/>
      <c r="G2188" s="23" t="s">
        <v>1079</v>
      </c>
      <c r="H2188" s="27"/>
      <c r="I2188" s="23" t="str">
        <f>IF(ISNUMBER(G2188),E2188*G2188,"")</f>
        <v/>
      </c>
      <c r="J2188" s="24"/>
      <c r="K2188" s="19"/>
      <c r="L2188" s="174">
        <v>0</v>
      </c>
    </row>
    <row r="2189" spans="1:12" ht="15.75" hidden="1" thickBot="1" x14ac:dyDescent="0.3">
      <c r="A2189" s="182"/>
      <c r="B2189" s="183"/>
      <c r="C2189" s="25"/>
      <c r="D2189" s="25"/>
      <c r="E2189" s="26"/>
      <c r="F2189" s="27"/>
      <c r="G2189" s="19" t="s">
        <v>1079</v>
      </c>
      <c r="H2189" s="27"/>
      <c r="I2189" s="19" t="str">
        <f>IF(ISNUMBER(G2189),E2189*G2189,"")</f>
        <v/>
      </c>
      <c r="J2189" s="24"/>
      <c r="K2189" s="19"/>
      <c r="L2189" s="174">
        <v>0</v>
      </c>
    </row>
    <row r="2190" spans="1:12" ht="15.75" hidden="1" thickBot="1" x14ac:dyDescent="0.3">
      <c r="A2190" s="180" t="s">
        <v>1329</v>
      </c>
      <c r="B2190" s="178" t="str">
        <f>INDEX(Orçamentária!A:B,MATCH(Composições!A2190,Orçamentária!A:A,0),2)</f>
        <v>Tubo de cobre de 1 1/8"</v>
      </c>
      <c r="C2190" s="30"/>
      <c r="D2190" s="13" t="str">
        <f>TRIM(INDEX(Orçamentária!C:C,MATCH(Composições!A2190,Orçamentária!A:A,0),1))</f>
        <v>m</v>
      </c>
      <c r="E2190" s="14"/>
      <c r="F2190" s="15" t="s">
        <v>1260</v>
      </c>
      <c r="G2190" s="31" t="s">
        <v>1079</v>
      </c>
      <c r="H2190" s="16"/>
      <c r="I2190" s="16" t="str">
        <f>IF(ISNUMBER(G2190),E2190*G2190,"")</f>
        <v/>
      </c>
      <c r="J2190" s="17"/>
      <c r="K2190" s="18"/>
      <c r="L2190" s="174">
        <v>0</v>
      </c>
    </row>
    <row r="2191" spans="1:12" ht="15.75" hidden="1" thickBot="1" x14ac:dyDescent="0.3">
      <c r="A2191" s="181"/>
      <c r="B2191" s="179"/>
      <c r="C2191" s="20"/>
      <c r="D2191" s="20"/>
      <c r="E2191" s="21"/>
      <c r="F2191" s="22"/>
      <c r="G2191" s="32" t="s">
        <v>1079</v>
      </c>
      <c r="H2191" s="20"/>
      <c r="I2191" s="19" t="str">
        <f>IF(ISNUMBER(G2191),E2191*G2191,"")</f>
        <v/>
      </c>
      <c r="J2191" s="24"/>
      <c r="K2191" s="19"/>
      <c r="L2191" s="174">
        <v>0</v>
      </c>
    </row>
    <row r="2192" spans="1:12" ht="26.25" hidden="1" thickBot="1" x14ac:dyDescent="0.3">
      <c r="A2192" s="181"/>
      <c r="B2192" s="179"/>
      <c r="C2192" s="25" t="s">
        <v>1330</v>
      </c>
      <c r="D2192" s="36" t="s">
        <v>184</v>
      </c>
      <c r="E2192" s="26">
        <v>1.0210999999999999</v>
      </c>
      <c r="F2192" s="27" t="s">
        <v>1262</v>
      </c>
      <c r="G2192" s="23">
        <v>0</v>
      </c>
      <c r="H2192" s="27" t="s">
        <v>1331</v>
      </c>
      <c r="I2192" s="23">
        <f>IF(ISNUMBER(G2192),E2192*G2192,"")</f>
        <v>0</v>
      </c>
      <c r="J2192" s="28">
        <f>SUM(I2192:I2194)</f>
        <v>1.5015168000000001</v>
      </c>
      <c r="K2192" s="29"/>
      <c r="L2192" s="174">
        <v>0</v>
      </c>
    </row>
    <row r="2193" spans="1:12" ht="26.25" hidden="1" thickBot="1" x14ac:dyDescent="0.3">
      <c r="A2193" s="181"/>
      <c r="B2193" s="179"/>
      <c r="C2193" s="25" t="s">
        <v>224</v>
      </c>
      <c r="D2193" s="36" t="s">
        <v>21</v>
      </c>
      <c r="E2193" s="26">
        <f>0.064*0.7</f>
        <v>4.48E-2</v>
      </c>
      <c r="F2193" s="27" t="s">
        <v>1262</v>
      </c>
      <c r="G2193" s="19">
        <v>14.772500000000001</v>
      </c>
      <c r="H2193" s="27" t="s">
        <v>226</v>
      </c>
      <c r="I2193" s="23">
        <f>IF(ISNUMBER(G2193),E2193*G2193,"")</f>
        <v>0.66180800000000006</v>
      </c>
      <c r="J2193" s="24"/>
      <c r="K2193" s="19"/>
      <c r="L2193" s="174">
        <v>0</v>
      </c>
    </row>
    <row r="2194" spans="1:12" ht="15.75" hidden="1" thickBot="1" x14ac:dyDescent="0.3">
      <c r="A2194" s="181"/>
      <c r="B2194" s="179"/>
      <c r="C2194" s="25" t="s">
        <v>70</v>
      </c>
      <c r="D2194" s="36" t="s">
        <v>21</v>
      </c>
      <c r="E2194" s="26">
        <f>0.064*0.7</f>
        <v>4.48E-2</v>
      </c>
      <c r="F2194" s="27" t="s">
        <v>1262</v>
      </c>
      <c r="G2194" s="19">
        <v>18.743500000000001</v>
      </c>
      <c r="H2194" s="27" t="s">
        <v>71</v>
      </c>
      <c r="I2194" s="23">
        <f>IF(ISNUMBER(G2194),E2194*G2194,"")</f>
        <v>0.83970880000000003</v>
      </c>
      <c r="J2194" s="24"/>
      <c r="K2194" s="19"/>
      <c r="L2194" s="174">
        <v>0</v>
      </c>
    </row>
    <row r="2195" spans="1:12" ht="15.75" hidden="1" thickBot="1" x14ac:dyDescent="0.3">
      <c r="A2195" s="181"/>
      <c r="B2195" s="179"/>
      <c r="C2195" s="25"/>
      <c r="D2195" s="36"/>
      <c r="E2195" s="26"/>
      <c r="F2195" s="27"/>
      <c r="G2195" s="23" t="s">
        <v>1079</v>
      </c>
      <c r="H2195" s="27"/>
      <c r="I2195" s="23" t="str">
        <f>IF(ISNUMBER(G2195),E2195*G2195,"")</f>
        <v/>
      </c>
      <c r="J2195" s="24"/>
      <c r="K2195" s="19"/>
      <c r="L2195" s="174">
        <v>0</v>
      </c>
    </row>
    <row r="2196" spans="1:12" ht="39" hidden="1" thickBot="1" x14ac:dyDescent="0.3">
      <c r="A2196" s="181"/>
      <c r="B2196" s="179"/>
      <c r="C2196" s="44" t="s">
        <v>1263</v>
      </c>
      <c r="D2196" s="36"/>
      <c r="E2196" s="26"/>
      <c r="F2196" s="27"/>
      <c r="G2196" s="23" t="s">
        <v>1079</v>
      </c>
      <c r="H2196" s="27"/>
      <c r="I2196" s="23" t="str">
        <f>IF(ISNUMBER(G2196),E2196*G2196,"")</f>
        <v/>
      </c>
      <c r="J2196" s="24"/>
      <c r="K2196" s="19"/>
      <c r="L2196" s="174">
        <v>0</v>
      </c>
    </row>
    <row r="2197" spans="1:12" ht="15.75" hidden="1" thickBot="1" x14ac:dyDescent="0.3">
      <c r="A2197" s="182"/>
      <c r="B2197" s="183"/>
      <c r="C2197" s="25"/>
      <c r="D2197" s="25"/>
      <c r="E2197" s="26"/>
      <c r="F2197" s="27"/>
      <c r="G2197" s="19" t="s">
        <v>1079</v>
      </c>
      <c r="H2197" s="27"/>
      <c r="I2197" s="19" t="str">
        <f>IF(ISNUMBER(G2197),E2197*G2197,"")</f>
        <v/>
      </c>
      <c r="J2197" s="24"/>
      <c r="K2197" s="19"/>
      <c r="L2197" s="174">
        <v>0</v>
      </c>
    </row>
    <row r="2198" spans="1:12" ht="15.75" hidden="1" thickBot="1" x14ac:dyDescent="0.3">
      <c r="A2198" s="180" t="s">
        <v>1332</v>
      </c>
      <c r="B2198" s="178" t="str">
        <f>INDEX(Orçamentária!A:B,MATCH(Composições!A2198,Orçamentária!A:A,0),2)</f>
        <v>Instalação de armários reaproveitados</v>
      </c>
      <c r="C2198" s="30"/>
      <c r="D2198" s="13" t="str">
        <f>TRIM(INDEX(Orçamentária!C:C,MATCH(Composições!A2198,Orçamentária!A:A,0),1))</f>
        <v>m2</v>
      </c>
      <c r="E2198" s="14"/>
      <c r="F2198" s="15" t="s">
        <v>1333</v>
      </c>
      <c r="G2198" s="31" t="s">
        <v>1079</v>
      </c>
      <c r="H2198" s="16"/>
      <c r="I2198" s="16" t="str">
        <f>IF(ISNUMBER(G2198),E2198*G2198,"")</f>
        <v/>
      </c>
      <c r="J2198" s="17"/>
      <c r="K2198" s="18"/>
      <c r="L2198" s="174">
        <v>0</v>
      </c>
    </row>
    <row r="2199" spans="1:12" ht="15.75" hidden="1" thickBot="1" x14ac:dyDescent="0.3">
      <c r="A2199" s="181"/>
      <c r="B2199" s="179"/>
      <c r="C2199" s="20"/>
      <c r="D2199" s="20"/>
      <c r="E2199" s="21"/>
      <c r="F2199" s="22"/>
      <c r="G2199" s="32" t="s">
        <v>1079</v>
      </c>
      <c r="H2199" s="20"/>
      <c r="I2199" s="19" t="str">
        <f>IF(ISNUMBER(G2199),E2199*G2199,"")</f>
        <v/>
      </c>
      <c r="J2199" s="24"/>
      <c r="K2199" s="19"/>
      <c r="L2199" s="174">
        <v>0</v>
      </c>
    </row>
    <row r="2200" spans="1:12" ht="15.75" hidden="1" thickBot="1" x14ac:dyDescent="0.3">
      <c r="A2200" s="181"/>
      <c r="B2200" s="179"/>
      <c r="C2200" s="25" t="s">
        <v>1208</v>
      </c>
      <c r="D2200" s="25" t="s">
        <v>21</v>
      </c>
      <c r="E2200" s="26">
        <v>1.8</v>
      </c>
      <c r="F2200" s="27" t="s">
        <v>1334</v>
      </c>
      <c r="G2200" s="19">
        <v>19.341999999999999</v>
      </c>
      <c r="H2200" s="27" t="s">
        <v>1209</v>
      </c>
      <c r="I2200" s="19">
        <f>IF(ISNUMBER(G2200),E2200*G2200,"")</f>
        <v>34.815599999999996</v>
      </c>
      <c r="J2200" s="28">
        <f>SUM(I2200:I2201)</f>
        <v>85.718024999999997</v>
      </c>
      <c r="K2200" s="29"/>
      <c r="L2200" s="174">
        <v>0</v>
      </c>
    </row>
    <row r="2201" spans="1:12" ht="15.75" hidden="1" thickBot="1" x14ac:dyDescent="0.3">
      <c r="A2201" s="181"/>
      <c r="B2201" s="179"/>
      <c r="C2201" s="25" t="s">
        <v>266</v>
      </c>
      <c r="D2201" s="25" t="s">
        <v>21</v>
      </c>
      <c r="E2201" s="26">
        <v>3.15</v>
      </c>
      <c r="F2201" s="27" t="s">
        <v>1334</v>
      </c>
      <c r="G2201" s="19">
        <v>16.159500000000001</v>
      </c>
      <c r="H2201" s="27" t="s">
        <v>268</v>
      </c>
      <c r="I2201" s="19">
        <f>IF(ISNUMBER(G2201),E2201*G2201,"")</f>
        <v>50.902425000000001</v>
      </c>
      <c r="J2201" s="24"/>
      <c r="K2201" s="19"/>
      <c r="L2201" s="174">
        <v>0</v>
      </c>
    </row>
    <row r="2202" spans="1:12" ht="15.75" hidden="1" thickBot="1" x14ac:dyDescent="0.3">
      <c r="A2202" s="182"/>
      <c r="B2202" s="183"/>
      <c r="C2202" s="25"/>
      <c r="D2202" s="25"/>
      <c r="E2202" s="26"/>
      <c r="F2202" s="27"/>
      <c r="G2202" s="19" t="s">
        <v>1079</v>
      </c>
      <c r="H2202" s="27"/>
      <c r="I2202" s="19" t="str">
        <f>IF(ISNUMBER(G2202),E2202*G2202,"")</f>
        <v/>
      </c>
      <c r="J2202" s="24"/>
      <c r="K2202" s="19"/>
      <c r="L2202" s="174">
        <v>0</v>
      </c>
    </row>
    <row r="2203" spans="1:12" ht="15.75" hidden="1" thickBot="1" x14ac:dyDescent="0.3">
      <c r="A2203" s="180" t="s">
        <v>1335</v>
      </c>
      <c r="B2203" s="178" t="str">
        <f>INDEX(Orçamentária!A:B,MATCH(Composições!A2203,Orçamentária!A:A,0),2)</f>
        <v>Mesa/tampo de MDF, fixada em parede com mão-francesa</v>
      </c>
      <c r="C2203" s="30"/>
      <c r="D2203" s="13" t="str">
        <f>TRIM(INDEX(Orçamentária!C:C,MATCH(Composições!A2203,Orçamentária!A:A,0),1))</f>
        <v>m2</v>
      </c>
      <c r="E2203" s="14"/>
      <c r="F2203" s="15" t="s">
        <v>17</v>
      </c>
      <c r="G2203" s="31" t="s">
        <v>1079</v>
      </c>
      <c r="H2203" s="16"/>
      <c r="I2203" s="16" t="str">
        <f>IF(ISNUMBER(G2203),E2203*G2203,"")</f>
        <v/>
      </c>
      <c r="J2203" s="17"/>
      <c r="K2203" s="18"/>
      <c r="L2203" s="174">
        <v>0</v>
      </c>
    </row>
    <row r="2204" spans="1:12" ht="15.75" hidden="1" thickBot="1" x14ac:dyDescent="0.3">
      <c r="A2204" s="181"/>
      <c r="B2204" s="179"/>
      <c r="C2204" s="20"/>
      <c r="D2204" s="20"/>
      <c r="E2204" s="21"/>
      <c r="F2204" s="22"/>
      <c r="G2204" s="32" t="s">
        <v>1079</v>
      </c>
      <c r="H2204" s="20"/>
      <c r="I2204" s="19" t="str">
        <f>IF(ISNUMBER(G2204),E2204*G2204,"")</f>
        <v/>
      </c>
      <c r="J2204" s="24"/>
      <c r="K2204" s="19"/>
      <c r="L2204" s="174">
        <v>0</v>
      </c>
    </row>
    <row r="2205" spans="1:12" ht="15.75" hidden="1" thickBot="1" x14ac:dyDescent="0.3">
      <c r="A2205" s="181"/>
      <c r="B2205" s="179"/>
      <c r="C2205" s="25" t="s">
        <v>1208</v>
      </c>
      <c r="D2205" s="25" t="s">
        <v>21</v>
      </c>
      <c r="E2205" s="26">
        <v>1.8</v>
      </c>
      <c r="F2205" s="27" t="s">
        <v>17</v>
      </c>
      <c r="G2205" s="19">
        <v>19.341999999999999</v>
      </c>
      <c r="H2205" s="27" t="s">
        <v>1209</v>
      </c>
      <c r="I2205" s="19">
        <f>IF(ISNUMBER(G2205),E2205*G2205,"")</f>
        <v>34.815599999999996</v>
      </c>
      <c r="J2205" s="28">
        <f>SUM(I2205:I2208)</f>
        <v>135.56381249999998</v>
      </c>
      <c r="K2205" s="29"/>
      <c r="L2205" s="174">
        <v>0</v>
      </c>
    </row>
    <row r="2206" spans="1:12" ht="15.75" hidden="1" thickBot="1" x14ac:dyDescent="0.3">
      <c r="A2206" s="181"/>
      <c r="B2206" s="179"/>
      <c r="C2206" s="25" t="s">
        <v>266</v>
      </c>
      <c r="D2206" s="25" t="s">
        <v>21</v>
      </c>
      <c r="E2206" s="26">
        <f>3.15/2</f>
        <v>1.575</v>
      </c>
      <c r="F2206" s="27" t="s">
        <v>17</v>
      </c>
      <c r="G2206" s="19">
        <v>16.159500000000001</v>
      </c>
      <c r="H2206" s="27" t="s">
        <v>268</v>
      </c>
      <c r="I2206" s="23">
        <f>IF(ISNUMBER(G2206),E2206*G2206,"")</f>
        <v>25.4512125</v>
      </c>
      <c r="J2206" s="33"/>
      <c r="K2206" s="29"/>
      <c r="L2206" s="174">
        <v>0</v>
      </c>
    </row>
    <row r="2207" spans="1:12" ht="26.25" hidden="1" thickBot="1" x14ac:dyDescent="0.3">
      <c r="A2207" s="181"/>
      <c r="B2207" s="179"/>
      <c r="C2207" s="25" t="s">
        <v>1336</v>
      </c>
      <c r="D2207" s="25" t="s">
        <v>32</v>
      </c>
      <c r="E2207" s="26">
        <v>2</v>
      </c>
      <c r="F2207" s="27" t="s">
        <v>17</v>
      </c>
      <c r="G2207" s="23">
        <v>11.257499999999999</v>
      </c>
      <c r="H2207" s="27" t="s">
        <v>1337</v>
      </c>
      <c r="I2207" s="19">
        <f>IF(ISNUMBER(G2207),E2207*G2207,"")</f>
        <v>22.514999999999997</v>
      </c>
      <c r="J2207" s="33"/>
      <c r="K2207" s="29"/>
      <c r="L2207" s="174">
        <v>0</v>
      </c>
    </row>
    <row r="2208" spans="1:12" ht="15.75" hidden="1" thickBot="1" x14ac:dyDescent="0.3">
      <c r="A2208" s="181"/>
      <c r="B2208" s="179"/>
      <c r="C2208" s="25" t="s">
        <v>1338</v>
      </c>
      <c r="D2208" s="25" t="s">
        <v>189</v>
      </c>
      <c r="E2208" s="26">
        <v>1</v>
      </c>
      <c r="F2208" s="27" t="s">
        <v>17</v>
      </c>
      <c r="G2208" s="23">
        <v>52.781999999999996</v>
      </c>
      <c r="H2208" s="27" t="s">
        <v>1339</v>
      </c>
      <c r="I2208" s="19">
        <f>IF(ISNUMBER(G2208),E2208*G2208,"")</f>
        <v>52.781999999999996</v>
      </c>
      <c r="J2208" s="24"/>
      <c r="K2208" s="19"/>
      <c r="L2208" s="174">
        <v>0</v>
      </c>
    </row>
    <row r="2209" spans="1:12" ht="15.75" hidden="1" thickBot="1" x14ac:dyDescent="0.3">
      <c r="A2209" s="182"/>
      <c r="B2209" s="183"/>
      <c r="C2209" s="25"/>
      <c r="D2209" s="25"/>
      <c r="E2209" s="26"/>
      <c r="F2209" s="27"/>
      <c r="G2209" s="19" t="s">
        <v>1079</v>
      </c>
      <c r="H2209" s="27"/>
      <c r="I2209" s="19" t="str">
        <f>IF(ISNUMBER(G2209),E2209*G2209,"")</f>
        <v/>
      </c>
      <c r="J2209" s="24"/>
      <c r="K2209" s="19"/>
      <c r="L2209" s="174">
        <v>0</v>
      </c>
    </row>
    <row r="2210" spans="1:12" ht="15.75" hidden="1" thickBot="1" x14ac:dyDescent="0.3">
      <c r="A2210" s="180" t="s">
        <v>1340</v>
      </c>
      <c r="B2210" s="178" t="str">
        <f>INDEX(Orçamentária!A:B,MATCH(Composições!A2210,Orçamentária!A:A,0),2)</f>
        <v>Painel para TV de 120 x 180 cm</v>
      </c>
      <c r="C2210" s="30"/>
      <c r="D2210" s="13" t="str">
        <f>TRIM(INDEX(Orçamentária!C:C,MATCH(Composições!A2210,Orçamentária!A:A,0),1))</f>
        <v>un</v>
      </c>
      <c r="E2210" s="14"/>
      <c r="F2210" s="15" t="s">
        <v>17</v>
      </c>
      <c r="G2210" s="31" t="s">
        <v>1079</v>
      </c>
      <c r="H2210" s="16"/>
      <c r="I2210" s="16" t="str">
        <f>IF(ISNUMBER(G2210),E2210*G2210,"")</f>
        <v/>
      </c>
      <c r="J2210" s="17"/>
      <c r="K2210" s="18"/>
      <c r="L2210" s="174">
        <v>0</v>
      </c>
    </row>
    <row r="2211" spans="1:12" ht="15.75" hidden="1" thickBot="1" x14ac:dyDescent="0.3">
      <c r="A2211" s="181"/>
      <c r="B2211" s="179"/>
      <c r="C2211" s="20"/>
      <c r="D2211" s="20"/>
      <c r="E2211" s="21"/>
      <c r="F2211" s="22"/>
      <c r="G2211" s="32" t="s">
        <v>1079</v>
      </c>
      <c r="H2211" s="20"/>
      <c r="I2211" s="19" t="str">
        <f>IF(ISNUMBER(G2211),E2211*G2211,"")</f>
        <v/>
      </c>
      <c r="J2211" s="24"/>
      <c r="K2211" s="19"/>
      <c r="L2211" s="174">
        <v>0</v>
      </c>
    </row>
    <row r="2212" spans="1:12" ht="15.75" hidden="1" thickBot="1" x14ac:dyDescent="0.3">
      <c r="A2212" s="181"/>
      <c r="B2212" s="179"/>
      <c r="C2212" s="25" t="s">
        <v>1208</v>
      </c>
      <c r="D2212" s="25" t="s">
        <v>21</v>
      </c>
      <c r="E2212" s="26">
        <v>1</v>
      </c>
      <c r="F2212" s="27" t="s">
        <v>17</v>
      </c>
      <c r="G2212" s="19">
        <v>19.341999999999999</v>
      </c>
      <c r="H2212" s="27" t="s">
        <v>1209</v>
      </c>
      <c r="I2212" s="23">
        <f>IF(ISNUMBER(G2212),E2212*G2212,"")</f>
        <v>19.341999999999999</v>
      </c>
      <c r="J2212" s="28">
        <f>SUM(I2212:I2214)</f>
        <v>35.5015</v>
      </c>
      <c r="K2212" s="29"/>
      <c r="L2212" s="174">
        <v>0</v>
      </c>
    </row>
    <row r="2213" spans="1:12" ht="15.75" hidden="1" thickBot="1" x14ac:dyDescent="0.3">
      <c r="A2213" s="181"/>
      <c r="B2213" s="179"/>
      <c r="C2213" s="25" t="s">
        <v>266</v>
      </c>
      <c r="D2213" s="25" t="s">
        <v>21</v>
      </c>
      <c r="E2213" s="26">
        <v>1</v>
      </c>
      <c r="F2213" s="27" t="s">
        <v>17</v>
      </c>
      <c r="G2213" s="19">
        <v>16.159500000000001</v>
      </c>
      <c r="H2213" s="27" t="s">
        <v>268</v>
      </c>
      <c r="I2213" s="23">
        <f>IF(ISNUMBER(G2213),E2213*G2213,"")</f>
        <v>16.159500000000001</v>
      </c>
      <c r="J2213" s="33"/>
      <c r="K2213" s="29"/>
      <c r="L2213" s="174">
        <v>0</v>
      </c>
    </row>
    <row r="2214" spans="1:12" ht="15.75" hidden="1" thickBot="1" x14ac:dyDescent="0.3">
      <c r="A2214" s="181"/>
      <c r="B2214" s="179"/>
      <c r="C2214" s="25" t="s">
        <v>1341</v>
      </c>
      <c r="D2214" s="25" t="s">
        <v>32</v>
      </c>
      <c r="E2214" s="26">
        <v>1</v>
      </c>
      <c r="F2214" s="27" t="s">
        <v>17</v>
      </c>
      <c r="G2214" s="23" t="s">
        <v>1079</v>
      </c>
      <c r="H2214" s="27" t="s">
        <v>33</v>
      </c>
      <c r="I2214" s="19" t="str">
        <f>IF(ISNUMBER(G2214),E2214*G2214,"")</f>
        <v/>
      </c>
      <c r="J2214" s="24"/>
      <c r="K2214" s="19"/>
      <c r="L2214" s="174">
        <v>0</v>
      </c>
    </row>
    <row r="2215" spans="1:12" ht="15.75" hidden="1" thickBot="1" x14ac:dyDescent="0.3">
      <c r="A2215" s="182"/>
      <c r="B2215" s="183"/>
      <c r="C2215" s="25"/>
      <c r="D2215" s="25"/>
      <c r="E2215" s="26"/>
      <c r="F2215" s="27"/>
      <c r="G2215" s="19" t="s">
        <v>1079</v>
      </c>
      <c r="H2215" s="27"/>
      <c r="I2215" s="19" t="str">
        <f>IF(ISNUMBER(G2215),E2215*G2215,"")</f>
        <v/>
      </c>
      <c r="J2215" s="24"/>
      <c r="K2215" s="19"/>
      <c r="L2215" s="174">
        <v>0</v>
      </c>
    </row>
    <row r="2216" spans="1:12" ht="15.75" hidden="1" thickBot="1" x14ac:dyDescent="0.3">
      <c r="A2216" s="180" t="s">
        <v>1342</v>
      </c>
      <c r="B2216" s="178" t="str">
        <f>INDEX(Orçamentária!A:B,MATCH(Composições!A2216,Orçamentária!A:A,0),2)</f>
        <v>Painel para TV de 160 x 160 cm</v>
      </c>
      <c r="C2216" s="30"/>
      <c r="D2216" s="13" t="str">
        <f>TRIM(INDEX(Orçamentária!C:C,MATCH(Composições!A2216,Orçamentária!A:A,0),1))</f>
        <v>un</v>
      </c>
      <c r="E2216" s="14"/>
      <c r="F2216" s="15" t="s">
        <v>17</v>
      </c>
      <c r="G2216" s="31" t="s">
        <v>1079</v>
      </c>
      <c r="H2216" s="16"/>
      <c r="I2216" s="16" t="str">
        <f>IF(ISNUMBER(G2216),E2216*G2216,"")</f>
        <v/>
      </c>
      <c r="J2216" s="17"/>
      <c r="K2216" s="18"/>
      <c r="L2216" s="174">
        <v>0</v>
      </c>
    </row>
    <row r="2217" spans="1:12" ht="15.75" hidden="1" thickBot="1" x14ac:dyDescent="0.3">
      <c r="A2217" s="181"/>
      <c r="B2217" s="179"/>
      <c r="C2217" s="20"/>
      <c r="D2217" s="20"/>
      <c r="E2217" s="21"/>
      <c r="F2217" s="22"/>
      <c r="G2217" s="32" t="s">
        <v>1079</v>
      </c>
      <c r="H2217" s="20"/>
      <c r="I2217" s="19" t="str">
        <f>IF(ISNUMBER(G2217),E2217*G2217,"")</f>
        <v/>
      </c>
      <c r="J2217" s="24"/>
      <c r="K2217" s="19"/>
      <c r="L2217" s="174">
        <v>0</v>
      </c>
    </row>
    <row r="2218" spans="1:12" ht="15.75" hidden="1" thickBot="1" x14ac:dyDescent="0.3">
      <c r="A2218" s="181"/>
      <c r="B2218" s="179"/>
      <c r="C2218" s="25" t="s">
        <v>1208</v>
      </c>
      <c r="D2218" s="25" t="s">
        <v>21</v>
      </c>
      <c r="E2218" s="26">
        <v>1</v>
      </c>
      <c r="F2218" s="27" t="s">
        <v>17</v>
      </c>
      <c r="G2218" s="19">
        <v>19.341999999999999</v>
      </c>
      <c r="H2218" s="27" t="s">
        <v>1209</v>
      </c>
      <c r="I2218" s="23">
        <f>IF(ISNUMBER(G2218),E2218*G2218,"")</f>
        <v>19.341999999999999</v>
      </c>
      <c r="J2218" s="28">
        <f>SUM(I2218:I2220)</f>
        <v>35.5015</v>
      </c>
      <c r="K2218" s="29"/>
      <c r="L2218" s="174">
        <v>0</v>
      </c>
    </row>
    <row r="2219" spans="1:12" ht="15.75" hidden="1" thickBot="1" x14ac:dyDescent="0.3">
      <c r="A2219" s="181"/>
      <c r="B2219" s="179"/>
      <c r="C2219" s="25" t="s">
        <v>266</v>
      </c>
      <c r="D2219" s="25" t="s">
        <v>21</v>
      </c>
      <c r="E2219" s="26">
        <v>1</v>
      </c>
      <c r="F2219" s="27" t="s">
        <v>17</v>
      </c>
      <c r="G2219" s="19">
        <v>16.159500000000001</v>
      </c>
      <c r="H2219" s="27" t="s">
        <v>268</v>
      </c>
      <c r="I2219" s="23">
        <f>IF(ISNUMBER(G2219),E2219*G2219,"")</f>
        <v>16.159500000000001</v>
      </c>
      <c r="J2219" s="24"/>
      <c r="K2219" s="19"/>
      <c r="L2219" s="174">
        <v>0</v>
      </c>
    </row>
    <row r="2220" spans="1:12" ht="26.25" hidden="1" thickBot="1" x14ac:dyDescent="0.3">
      <c r="A2220" s="181"/>
      <c r="B2220" s="179"/>
      <c r="C2220" s="25" t="s">
        <v>1343</v>
      </c>
      <c r="D2220" s="25" t="s">
        <v>32</v>
      </c>
      <c r="E2220" s="26">
        <v>1</v>
      </c>
      <c r="F2220" s="27" t="s">
        <v>17</v>
      </c>
      <c r="G2220" s="23" t="s">
        <v>1079</v>
      </c>
      <c r="H2220" s="27" t="s">
        <v>33</v>
      </c>
      <c r="I2220" s="19" t="str">
        <f>IF(ISNUMBER(G2220),E2220*G2220,"")</f>
        <v/>
      </c>
      <c r="J2220" s="24"/>
      <c r="K2220" s="19"/>
      <c r="L2220" s="174">
        <v>0</v>
      </c>
    </row>
    <row r="2221" spans="1:12" ht="15.75" hidden="1" thickBot="1" x14ac:dyDescent="0.3">
      <c r="A2221" s="182"/>
      <c r="B2221" s="183"/>
      <c r="C2221" s="25"/>
      <c r="D2221" s="25"/>
      <c r="E2221" s="26"/>
      <c r="F2221" s="27"/>
      <c r="G2221" s="19" t="s">
        <v>1079</v>
      </c>
      <c r="H2221" s="27"/>
      <c r="I2221" s="19" t="str">
        <f>IF(ISNUMBER(G2221),E2221*G2221,"")</f>
        <v/>
      </c>
      <c r="J2221" s="24"/>
      <c r="K2221" s="19"/>
      <c r="L2221" s="174">
        <v>0</v>
      </c>
    </row>
    <row r="2222" spans="1:12" ht="15.75" hidden="1" thickBot="1" x14ac:dyDescent="0.3">
      <c r="A2222" s="180" t="s">
        <v>1344</v>
      </c>
      <c r="B2222" s="178" t="str">
        <f>INDEX(Orçamentária!A:B,MATCH(Composições!A2222,Orçamentária!A:A,0),2)</f>
        <v>Painel para TV de 90 x 120 cm</v>
      </c>
      <c r="C2222" s="30"/>
      <c r="D2222" s="13" t="str">
        <f>TRIM(INDEX(Orçamentária!C:C,MATCH(Composições!A2222,Orçamentária!A:A,0),1))</f>
        <v>un</v>
      </c>
      <c r="E2222" s="14"/>
      <c r="F2222" s="15" t="s">
        <v>17</v>
      </c>
      <c r="G2222" s="31" t="s">
        <v>1079</v>
      </c>
      <c r="H2222" s="16"/>
      <c r="I2222" s="16" t="str">
        <f>IF(ISNUMBER(G2222),E2222*G2222,"")</f>
        <v/>
      </c>
      <c r="J2222" s="17"/>
      <c r="K2222" s="18"/>
      <c r="L2222" s="174">
        <v>0</v>
      </c>
    </row>
    <row r="2223" spans="1:12" ht="15.75" hidden="1" thickBot="1" x14ac:dyDescent="0.3">
      <c r="A2223" s="181"/>
      <c r="B2223" s="179"/>
      <c r="C2223" s="20"/>
      <c r="D2223" s="20"/>
      <c r="E2223" s="21"/>
      <c r="F2223" s="22"/>
      <c r="G2223" s="32" t="s">
        <v>1079</v>
      </c>
      <c r="H2223" s="20"/>
      <c r="I2223" s="19" t="str">
        <f>IF(ISNUMBER(G2223),E2223*G2223,"")</f>
        <v/>
      </c>
      <c r="J2223" s="24"/>
      <c r="K2223" s="19"/>
      <c r="L2223" s="174">
        <v>0</v>
      </c>
    </row>
    <row r="2224" spans="1:12" ht="15.75" hidden="1" thickBot="1" x14ac:dyDescent="0.3">
      <c r="A2224" s="181"/>
      <c r="B2224" s="179"/>
      <c r="C2224" s="25" t="s">
        <v>1208</v>
      </c>
      <c r="D2224" s="25" t="s">
        <v>21</v>
      </c>
      <c r="E2224" s="26">
        <v>1</v>
      </c>
      <c r="F2224" s="27" t="s">
        <v>17</v>
      </c>
      <c r="G2224" s="19">
        <v>19.341999999999999</v>
      </c>
      <c r="H2224" s="27" t="s">
        <v>1209</v>
      </c>
      <c r="I2224" s="23">
        <f>IF(ISNUMBER(G2224),E2224*G2224,"")</f>
        <v>19.341999999999999</v>
      </c>
      <c r="J2224" s="28">
        <f>SUM(I2224:I2226)</f>
        <v>35.5015</v>
      </c>
      <c r="K2224" s="29"/>
      <c r="L2224" s="174">
        <v>0</v>
      </c>
    </row>
    <row r="2225" spans="1:12" ht="15.75" hidden="1" thickBot="1" x14ac:dyDescent="0.3">
      <c r="A2225" s="181"/>
      <c r="B2225" s="179"/>
      <c r="C2225" s="25" t="s">
        <v>266</v>
      </c>
      <c r="D2225" s="25" t="s">
        <v>21</v>
      </c>
      <c r="E2225" s="26">
        <v>1</v>
      </c>
      <c r="F2225" s="27" t="s">
        <v>17</v>
      </c>
      <c r="G2225" s="19">
        <v>16.159500000000001</v>
      </c>
      <c r="H2225" s="27" t="s">
        <v>268</v>
      </c>
      <c r="I2225" s="23">
        <f>IF(ISNUMBER(G2225),E2225*G2225,"")</f>
        <v>16.159500000000001</v>
      </c>
      <c r="J2225" s="24"/>
      <c r="K2225" s="19"/>
      <c r="L2225" s="174">
        <v>0</v>
      </c>
    </row>
    <row r="2226" spans="1:12" ht="26.25" hidden="1" thickBot="1" x14ac:dyDescent="0.3">
      <c r="A2226" s="181"/>
      <c r="B2226" s="179"/>
      <c r="C2226" s="25" t="s">
        <v>1345</v>
      </c>
      <c r="D2226" s="25" t="s">
        <v>32</v>
      </c>
      <c r="E2226" s="26">
        <v>1</v>
      </c>
      <c r="F2226" s="27" t="s">
        <v>17</v>
      </c>
      <c r="G2226" s="23" t="s">
        <v>1079</v>
      </c>
      <c r="H2226" s="27" t="s">
        <v>33</v>
      </c>
      <c r="I2226" s="19" t="str">
        <f>IF(ISNUMBER(G2226),E2226*G2226,"")</f>
        <v/>
      </c>
      <c r="J2226" s="24"/>
      <c r="K2226" s="19"/>
      <c r="L2226" s="174">
        <v>0</v>
      </c>
    </row>
    <row r="2227" spans="1:12" ht="15.75" hidden="1" thickBot="1" x14ac:dyDescent="0.3">
      <c r="A2227" s="182"/>
      <c r="B2227" s="183"/>
      <c r="C2227" s="25"/>
      <c r="D2227" s="25"/>
      <c r="E2227" s="26"/>
      <c r="F2227" s="27"/>
      <c r="G2227" s="19" t="s">
        <v>1079</v>
      </c>
      <c r="H2227" s="27"/>
      <c r="I2227" s="19" t="str">
        <f>IF(ISNUMBER(G2227),E2227*G2227,"")</f>
        <v/>
      </c>
      <c r="J2227" s="24"/>
      <c r="K2227" s="19"/>
      <c r="L2227" s="174">
        <v>0</v>
      </c>
    </row>
    <row r="2228" spans="1:12" ht="15.75" thickBot="1" x14ac:dyDescent="0.3">
      <c r="A2228" s="288" t="s">
        <v>1346</v>
      </c>
      <c r="B2228" s="289" t="str">
        <f>INDEX(Orçamentária!A:B,MATCH(Composições!A2228,Orçamentária!A:A,0),2)</f>
        <v>Batentes e guarnições para porta, em madeira</v>
      </c>
      <c r="C2228" s="274"/>
      <c r="D2228" s="265" t="str">
        <f>TRIM(INDEX(Orçamentária!C:C,MATCH(Composições!A2228,Orçamentária!A:A,0),1))</f>
        <v>un</v>
      </c>
      <c r="E2228" s="290"/>
      <c r="F2228" s="259" t="s">
        <v>1347</v>
      </c>
      <c r="G2228" s="260" t="s">
        <v>1079</v>
      </c>
      <c r="H2228" s="261"/>
      <c r="I2228" s="261" t="str">
        <f>IF(ISNUMBER(G2228),E2228*G2228,"")</f>
        <v/>
      </c>
      <c r="J2228" s="280"/>
      <c r="K2228" s="18"/>
      <c r="L2228" s="174">
        <v>1</v>
      </c>
    </row>
    <row r="2229" spans="1:12" x14ac:dyDescent="0.25">
      <c r="A2229" s="291"/>
      <c r="B2229" s="292"/>
      <c r="C2229" s="155"/>
      <c r="D2229" s="155"/>
      <c r="E2229" s="293"/>
      <c r="F2229" s="294"/>
      <c r="G2229" s="262" t="s">
        <v>1079</v>
      </c>
      <c r="H2229" s="155"/>
      <c r="I2229" s="257" t="str">
        <f>IF(ISNUMBER(G2229),E2229*G2229,"")</f>
        <v/>
      </c>
      <c r="J2229" s="281"/>
      <c r="K2229" s="19"/>
      <c r="L2229" s="174">
        <v>1</v>
      </c>
    </row>
    <row r="2230" spans="1:12" x14ac:dyDescent="0.25">
      <c r="A2230" s="291"/>
      <c r="B2230" s="292"/>
      <c r="C2230" s="105" t="s">
        <v>186</v>
      </c>
      <c r="D2230" s="271" t="s">
        <v>75</v>
      </c>
      <c r="E2230" s="250">
        <v>0.2</v>
      </c>
      <c r="F2230" s="176" t="s">
        <v>1348</v>
      </c>
      <c r="G2230" s="258">
        <v>9.4524999999999988</v>
      </c>
      <c r="H2230" s="176" t="s">
        <v>187</v>
      </c>
      <c r="I2230" s="258">
        <f>IF(ISNUMBER(G2230),E2230*G2230,"")</f>
        <v>1.8904999999999998</v>
      </c>
      <c r="J2230" s="295">
        <f>SUM(I2230:I2236)</f>
        <v>300.11031417678498</v>
      </c>
      <c r="K2230" s="29"/>
      <c r="L2230" s="174">
        <v>1</v>
      </c>
    </row>
    <row r="2231" spans="1:12" ht="25.5" x14ac:dyDescent="0.25">
      <c r="A2231" s="291"/>
      <c r="B2231" s="292"/>
      <c r="C2231" s="105" t="s">
        <v>1349</v>
      </c>
      <c r="D2231" s="3" t="s">
        <v>208</v>
      </c>
      <c r="E2231" s="250">
        <v>0.1671</v>
      </c>
      <c r="F2231" s="176" t="s">
        <v>1348</v>
      </c>
      <c r="G2231" s="258">
        <v>8.968</v>
      </c>
      <c r="H2231" s="176" t="s">
        <v>1350</v>
      </c>
      <c r="I2231" s="258">
        <f>IF(ISNUMBER(G2231),E2231*G2231,"")</f>
        <v>1.4985527999999999</v>
      </c>
      <c r="J2231" s="281"/>
      <c r="K2231" s="19"/>
      <c r="L2231" s="174">
        <v>1</v>
      </c>
    </row>
    <row r="2232" spans="1:12" x14ac:dyDescent="0.25">
      <c r="A2232" s="291"/>
      <c r="B2232" s="292"/>
      <c r="C2232" s="105" t="s">
        <v>79</v>
      </c>
      <c r="D2232" s="271" t="s">
        <v>21</v>
      </c>
      <c r="E2232" s="250">
        <v>0.55200000000000005</v>
      </c>
      <c r="F2232" s="176" t="s">
        <v>1348</v>
      </c>
      <c r="G2232" s="257">
        <v>19.047499999999999</v>
      </c>
      <c r="H2232" s="176" t="s">
        <v>81</v>
      </c>
      <c r="I2232" s="258">
        <f>IF(ISNUMBER(G2232),E2232*G2232,"")</f>
        <v>10.51422</v>
      </c>
      <c r="J2232" s="281"/>
      <c r="K2232" s="19"/>
      <c r="L2232" s="174">
        <v>1</v>
      </c>
    </row>
    <row r="2233" spans="1:12" x14ac:dyDescent="0.25">
      <c r="A2233" s="291"/>
      <c r="B2233" s="292"/>
      <c r="C2233" s="105" t="s">
        <v>36</v>
      </c>
      <c r="D2233" s="271" t="s">
        <v>21</v>
      </c>
      <c r="E2233" s="250">
        <v>1.3620000000000001</v>
      </c>
      <c r="F2233" s="176" t="s">
        <v>1348</v>
      </c>
      <c r="G2233" s="257">
        <v>19.142499999999998</v>
      </c>
      <c r="H2233" s="176" t="s">
        <v>37</v>
      </c>
      <c r="I2233" s="258">
        <f>IF(ISNUMBER(G2233),E2233*G2233,"")</f>
        <v>26.072085000000001</v>
      </c>
      <c r="J2233" s="281"/>
      <c r="K2233" s="19"/>
      <c r="L2233" s="174">
        <v>1</v>
      </c>
    </row>
    <row r="2234" spans="1:12" x14ac:dyDescent="0.25">
      <c r="A2234" s="291"/>
      <c r="B2234" s="292"/>
      <c r="C2234" s="105" t="s">
        <v>38</v>
      </c>
      <c r="D2234" s="271" t="s">
        <v>21</v>
      </c>
      <c r="E2234" s="250">
        <v>0.95699999999999996</v>
      </c>
      <c r="F2234" s="176" t="s">
        <v>1348</v>
      </c>
      <c r="G2234" s="257">
        <v>14.325999999999999</v>
      </c>
      <c r="H2234" s="176" t="s">
        <v>39</v>
      </c>
      <c r="I2234" s="258">
        <f>IF(ISNUMBER(G2234),E2234*G2234,"")</f>
        <v>13.709981999999998</v>
      </c>
      <c r="J2234" s="281"/>
      <c r="K2234" s="19"/>
      <c r="L2234" s="174">
        <v>1</v>
      </c>
    </row>
    <row r="2235" spans="1:12" ht="25.5" x14ac:dyDescent="0.25">
      <c r="A2235" s="291"/>
      <c r="B2235" s="292"/>
      <c r="C2235" s="105" t="s">
        <v>227</v>
      </c>
      <c r="D2235" s="271" t="s">
        <v>252</v>
      </c>
      <c r="E2235" s="250">
        <v>2.23E-2</v>
      </c>
      <c r="F2235" s="176" t="s">
        <v>1348</v>
      </c>
      <c r="G2235" s="258">
        <v>429.61257294999996</v>
      </c>
      <c r="H2235" s="176" t="s">
        <v>229</v>
      </c>
      <c r="I2235" s="258">
        <f>IF(ISNUMBER(G2235),E2235*G2235,"")</f>
        <v>9.5803603767849985</v>
      </c>
      <c r="J2235" s="281"/>
      <c r="K2235" s="19"/>
      <c r="L2235" s="174">
        <v>1</v>
      </c>
    </row>
    <row r="2236" spans="1:12" ht="25.5" x14ac:dyDescent="0.25">
      <c r="A2236" s="291"/>
      <c r="B2236" s="292"/>
      <c r="C2236" s="105" t="s">
        <v>1351</v>
      </c>
      <c r="D2236" s="271" t="s">
        <v>588</v>
      </c>
      <c r="E2236" s="250">
        <v>1</v>
      </c>
      <c r="F2236" s="176" t="s">
        <v>1348</v>
      </c>
      <c r="G2236" s="258">
        <v>236.84461400000001</v>
      </c>
      <c r="H2236" s="176" t="s">
        <v>1352</v>
      </c>
      <c r="I2236" s="258">
        <f>IF(ISNUMBER(G2236),E2236*G2236,"")</f>
        <v>236.84461400000001</v>
      </c>
      <c r="J2236" s="281"/>
      <c r="K2236" s="19"/>
      <c r="L2236" s="174">
        <v>1</v>
      </c>
    </row>
    <row r="2237" spans="1:12" ht="15.75" thickBot="1" x14ac:dyDescent="0.3">
      <c r="A2237" s="296"/>
      <c r="B2237" s="297"/>
      <c r="C2237" s="105"/>
      <c r="D2237" s="105"/>
      <c r="E2237" s="250"/>
      <c r="F2237" s="176"/>
      <c r="G2237" s="257" t="s">
        <v>1079</v>
      </c>
      <c r="H2237" s="176"/>
      <c r="I2237" s="257" t="str">
        <f>IF(ISNUMBER(G2237),E2237*G2237,"")</f>
        <v/>
      </c>
      <c r="J2237" s="281"/>
      <c r="K2237" s="19"/>
      <c r="L2237" s="174">
        <v>1</v>
      </c>
    </row>
    <row r="2238" spans="1:12" ht="15.75" hidden="1" thickBot="1" x14ac:dyDescent="0.3">
      <c r="A2238" s="180" t="s">
        <v>1353</v>
      </c>
      <c r="B2238" s="178" t="str">
        <f>INDEX(Orçamentária!A:B,MATCH(Composições!A2238,Orçamentária!A:A,0),2)</f>
        <v>Chapa de proteção para porta – Linha Acessibilidade</v>
      </c>
      <c r="C2238" s="167"/>
      <c r="D2238" s="13" t="str">
        <f>TRIM(INDEX(Orçamentária!C:C,MATCH(Composições!A2238,Orçamentária!A:A,0),1))</f>
        <v>m2</v>
      </c>
      <c r="E2238" s="14"/>
      <c r="F2238" s="15" t="s">
        <v>1354</v>
      </c>
      <c r="G2238" s="31" t="s">
        <v>1079</v>
      </c>
      <c r="H2238" s="16"/>
      <c r="I2238" s="16" t="str">
        <f>IF(ISNUMBER(G2238),E2238*G2238,"")</f>
        <v/>
      </c>
      <c r="J2238" s="17"/>
      <c r="K2238" s="18"/>
      <c r="L2238" s="174">
        <v>0</v>
      </c>
    </row>
    <row r="2239" spans="1:12" ht="15.75" hidden="1" thickBot="1" x14ac:dyDescent="0.3">
      <c r="A2239" s="181"/>
      <c r="B2239" s="179"/>
      <c r="C2239" s="20"/>
      <c r="D2239" s="20"/>
      <c r="E2239" s="21"/>
      <c r="F2239" s="22"/>
      <c r="G2239" s="32" t="s">
        <v>1079</v>
      </c>
      <c r="H2239" s="20"/>
      <c r="I2239" s="19" t="str">
        <f>IF(ISNUMBER(G2239),E2239*G2239,"")</f>
        <v/>
      </c>
      <c r="J2239" s="24"/>
      <c r="K2239" s="19"/>
      <c r="L2239" s="174">
        <v>0</v>
      </c>
    </row>
    <row r="2240" spans="1:12" ht="15.75" hidden="1" thickBot="1" x14ac:dyDescent="0.3">
      <c r="A2240" s="181"/>
      <c r="B2240" s="179"/>
      <c r="C2240" s="25" t="s">
        <v>38</v>
      </c>
      <c r="D2240" s="25" t="s">
        <v>21</v>
      </c>
      <c r="E2240" s="26">
        <v>0.3</v>
      </c>
      <c r="F2240" s="27" t="s">
        <v>1354</v>
      </c>
      <c r="G2240" s="19">
        <v>14.325999999999999</v>
      </c>
      <c r="H2240" s="27" t="s">
        <v>39</v>
      </c>
      <c r="I2240" s="23">
        <f>IF(ISNUMBER(G2240),E2240*G2240,"")</f>
        <v>4.2977999999999996</v>
      </c>
      <c r="J2240" s="28">
        <f>SUM(I2240:I2242)</f>
        <v>10.100399999999999</v>
      </c>
      <c r="K2240" s="29"/>
      <c r="L2240" s="174">
        <v>0</v>
      </c>
    </row>
    <row r="2241" spans="1:12" ht="15.75" hidden="1" thickBot="1" x14ac:dyDescent="0.3">
      <c r="A2241" s="181"/>
      <c r="B2241" s="179"/>
      <c r="C2241" s="25" t="s">
        <v>1208</v>
      </c>
      <c r="D2241" s="25" t="s">
        <v>21</v>
      </c>
      <c r="E2241" s="26">
        <v>0.3</v>
      </c>
      <c r="F2241" s="27" t="s">
        <v>1354</v>
      </c>
      <c r="G2241" s="19">
        <v>19.341999999999999</v>
      </c>
      <c r="H2241" s="27" t="s">
        <v>1209</v>
      </c>
      <c r="I2241" s="23">
        <f>IF(ISNUMBER(G2241),E2241*G2241,"")</f>
        <v>5.8025999999999991</v>
      </c>
      <c r="J2241" s="34"/>
      <c r="K2241" s="35"/>
      <c r="L2241" s="174">
        <v>0</v>
      </c>
    </row>
    <row r="2242" spans="1:12" ht="39" hidden="1" thickBot="1" x14ac:dyDescent="0.3">
      <c r="A2242" s="181"/>
      <c r="B2242" s="179"/>
      <c r="C2242" s="25" t="s">
        <v>1355</v>
      </c>
      <c r="D2242" s="36" t="s">
        <v>189</v>
      </c>
      <c r="E2242" s="26">
        <v>1</v>
      </c>
      <c r="F2242" s="27" t="s">
        <v>1354</v>
      </c>
      <c r="G2242" s="23" t="s">
        <v>1079</v>
      </c>
      <c r="H2242" s="27" t="s">
        <v>33</v>
      </c>
      <c r="I2242" s="23" t="str">
        <f>IF(ISNUMBER(G2242),E2242*G2242,"")</f>
        <v/>
      </c>
      <c r="J2242" s="24"/>
      <c r="K2242" s="19"/>
      <c r="L2242" s="174">
        <v>0</v>
      </c>
    </row>
    <row r="2243" spans="1:12" ht="15.75" hidden="1" thickBot="1" x14ac:dyDescent="0.3">
      <c r="A2243" s="182"/>
      <c r="B2243" s="183"/>
      <c r="C2243" s="25"/>
      <c r="D2243" s="25"/>
      <c r="E2243" s="26"/>
      <c r="F2243" s="27"/>
      <c r="G2243" s="19" t="s">
        <v>1079</v>
      </c>
      <c r="H2243" s="27"/>
      <c r="I2243" s="19" t="str">
        <f>IF(ISNUMBER(G2243),E2243*G2243,"")</f>
        <v/>
      </c>
      <c r="J2243" s="24"/>
      <c r="K2243" s="19"/>
      <c r="L2243" s="174">
        <v>0</v>
      </c>
    </row>
    <row r="2244" spans="1:12" ht="15.75" hidden="1" thickBot="1" x14ac:dyDescent="0.3">
      <c r="A2244" s="180" t="s">
        <v>1356</v>
      </c>
      <c r="B2244" s="178" t="str">
        <f>INDEX(Orçamentária!A:B,MATCH(Composições!A2244,Orçamentária!A:A,0),2)</f>
        <v>Folha de porta em madeira 2,10x0,60m, com ou sem bandeira, e dobradiças</v>
      </c>
      <c r="C2244" s="30"/>
      <c r="D2244" s="13" t="str">
        <f>TRIM(INDEX(Orçamentária!C:C,MATCH(Composições!A2244,Orçamentária!A:A,0),1))</f>
        <v>un</v>
      </c>
      <c r="E2244" s="14"/>
      <c r="F2244" s="15" t="s">
        <v>1357</v>
      </c>
      <c r="G2244" s="31" t="s">
        <v>1079</v>
      </c>
      <c r="H2244" s="16"/>
      <c r="I2244" s="16" t="str">
        <f>IF(ISNUMBER(G2244),E2244*G2244,"")</f>
        <v/>
      </c>
      <c r="J2244" s="17"/>
      <c r="K2244" s="18"/>
      <c r="L2244" s="174">
        <v>0</v>
      </c>
    </row>
    <row r="2245" spans="1:12" ht="15.75" hidden="1" thickBot="1" x14ac:dyDescent="0.3">
      <c r="A2245" s="181"/>
      <c r="B2245" s="179"/>
      <c r="C2245" s="20"/>
      <c r="D2245" s="20"/>
      <c r="E2245" s="21"/>
      <c r="F2245" s="22"/>
      <c r="G2245" s="32" t="s">
        <v>1079</v>
      </c>
      <c r="H2245" s="20"/>
      <c r="I2245" s="19" t="str">
        <f>IF(ISNUMBER(G2245),E2245*G2245,"")</f>
        <v/>
      </c>
      <c r="J2245" s="24"/>
      <c r="K2245" s="19"/>
      <c r="L2245" s="174">
        <v>0</v>
      </c>
    </row>
    <row r="2246" spans="1:12" ht="26.25" hidden="1" thickBot="1" x14ac:dyDescent="0.3">
      <c r="A2246" s="181"/>
      <c r="B2246" s="179"/>
      <c r="C2246" s="25" t="s">
        <v>1358</v>
      </c>
      <c r="D2246" s="36" t="s">
        <v>588</v>
      </c>
      <c r="E2246" s="26">
        <v>3</v>
      </c>
      <c r="F2246" s="27" t="s">
        <v>1359</v>
      </c>
      <c r="G2246" s="23">
        <v>18.762499999999999</v>
      </c>
      <c r="H2246" s="27" t="s">
        <v>1360</v>
      </c>
      <c r="I2246" s="23">
        <f>IF(ISNUMBER(G2246),E2246*G2246,"")</f>
        <v>56.287499999999994</v>
      </c>
      <c r="J2246" s="28">
        <f>SUM(I2246:I2250)</f>
        <v>273.34576099999998</v>
      </c>
      <c r="K2246" s="29"/>
      <c r="L2246" s="174">
        <v>0</v>
      </c>
    </row>
    <row r="2247" spans="1:12" ht="39" hidden="1" thickBot="1" x14ac:dyDescent="0.3">
      <c r="A2247" s="181"/>
      <c r="B2247" s="179"/>
      <c r="C2247" s="25" t="s">
        <v>1361</v>
      </c>
      <c r="D2247" s="36" t="s">
        <v>588</v>
      </c>
      <c r="E2247" s="26">
        <v>1</v>
      </c>
      <c r="F2247" s="27" t="s">
        <v>1359</v>
      </c>
      <c r="G2247" s="23">
        <v>182.70399999999998</v>
      </c>
      <c r="H2247" s="27" t="s">
        <v>1362</v>
      </c>
      <c r="I2247" s="23">
        <f>IF(ISNUMBER(G2247),E2247*G2247,"")</f>
        <v>182.70399999999998</v>
      </c>
      <c r="J2247" s="24"/>
      <c r="K2247" s="19"/>
      <c r="L2247" s="174">
        <v>0</v>
      </c>
    </row>
    <row r="2248" spans="1:12" ht="26.25" hidden="1" thickBot="1" x14ac:dyDescent="0.3">
      <c r="A2248" s="181"/>
      <c r="B2248" s="179"/>
      <c r="C2248" s="25" t="s">
        <v>1363</v>
      </c>
      <c r="D2248" s="36" t="s">
        <v>588</v>
      </c>
      <c r="E2248" s="26">
        <v>19.8</v>
      </c>
      <c r="F2248" s="27" t="s">
        <v>1359</v>
      </c>
      <c r="G2248" s="23">
        <v>3.7999999999999999E-2</v>
      </c>
      <c r="H2248" s="27" t="s">
        <v>1364</v>
      </c>
      <c r="I2248" s="23">
        <f>IF(ISNUMBER(G2248),E2248*G2248,"")</f>
        <v>0.75239999999999996</v>
      </c>
      <c r="J2248" s="24"/>
      <c r="K2248" s="19"/>
      <c r="L2248" s="174">
        <v>0</v>
      </c>
    </row>
    <row r="2249" spans="1:12" ht="15.75" hidden="1" thickBot="1" x14ac:dyDescent="0.3">
      <c r="A2249" s="181"/>
      <c r="B2249" s="179"/>
      <c r="C2249" s="25" t="s">
        <v>1365</v>
      </c>
      <c r="D2249" s="36" t="s">
        <v>1366</v>
      </c>
      <c r="E2249" s="26">
        <v>1.282</v>
      </c>
      <c r="F2249" s="27" t="s">
        <v>1359</v>
      </c>
      <c r="G2249" s="19">
        <v>19.047499999999999</v>
      </c>
      <c r="H2249" s="27" t="s">
        <v>81</v>
      </c>
      <c r="I2249" s="23">
        <f>IF(ISNUMBER(G2249),E2249*G2249,"")</f>
        <v>24.418894999999999</v>
      </c>
      <c r="J2249" s="24"/>
      <c r="K2249" s="19"/>
      <c r="L2249" s="174">
        <v>0</v>
      </c>
    </row>
    <row r="2250" spans="1:12" ht="15.75" hidden="1" thickBot="1" x14ac:dyDescent="0.3">
      <c r="A2250" s="181"/>
      <c r="B2250" s="179"/>
      <c r="C2250" s="25" t="s">
        <v>1367</v>
      </c>
      <c r="D2250" s="36" t="s">
        <v>1366</v>
      </c>
      <c r="E2250" s="26">
        <v>0.64100000000000001</v>
      </c>
      <c r="F2250" s="27" t="s">
        <v>1359</v>
      </c>
      <c r="G2250" s="19">
        <v>14.325999999999999</v>
      </c>
      <c r="H2250" s="27" t="s">
        <v>39</v>
      </c>
      <c r="I2250" s="23">
        <f>IF(ISNUMBER(G2250),E2250*G2250,"")</f>
        <v>9.1829659999999986</v>
      </c>
      <c r="J2250" s="24"/>
      <c r="K2250" s="19"/>
      <c r="L2250" s="174">
        <v>0</v>
      </c>
    </row>
    <row r="2251" spans="1:12" ht="15.75" hidden="1" thickBot="1" x14ac:dyDescent="0.3">
      <c r="A2251" s="181"/>
      <c r="B2251" s="179"/>
      <c r="C2251" s="25"/>
      <c r="D2251" s="36"/>
      <c r="E2251" s="26"/>
      <c r="F2251" s="27"/>
      <c r="G2251" s="23" t="s">
        <v>1079</v>
      </c>
      <c r="H2251" s="27"/>
      <c r="I2251" s="23" t="str">
        <f>IF(ISNUMBER(G2251),E2251*G2251,"")</f>
        <v/>
      </c>
      <c r="J2251" s="24"/>
      <c r="K2251" s="19"/>
      <c r="L2251" s="174">
        <v>0</v>
      </c>
    </row>
    <row r="2252" spans="1:12" ht="15.75" hidden="1" thickBot="1" x14ac:dyDescent="0.3">
      <c r="A2252" s="180" t="s">
        <v>1368</v>
      </c>
      <c r="B2252" s="178" t="str">
        <f>INDEX(Orçamentária!A:B,MATCH(Composições!A2252,Orçamentária!A:A,0),2)</f>
        <v>Folha de porta em madeira 2,10x0,70m, com ou sem bandeira, e dobradiças</v>
      </c>
      <c r="C2252" s="30"/>
      <c r="D2252" s="13" t="str">
        <f>TRIM(INDEX(Orçamentária!C:C,MATCH(Composições!A2252,Orçamentária!A:A,0),1))</f>
        <v>un</v>
      </c>
      <c r="E2252" s="14"/>
      <c r="F2252" s="15" t="s">
        <v>1369</v>
      </c>
      <c r="G2252" s="31" t="s">
        <v>1079</v>
      </c>
      <c r="H2252" s="16"/>
      <c r="I2252" s="16" t="str">
        <f>IF(ISNUMBER(G2252),E2252*G2252,"")</f>
        <v/>
      </c>
      <c r="J2252" s="17"/>
      <c r="K2252" s="18"/>
      <c r="L2252" s="174">
        <v>0</v>
      </c>
    </row>
    <row r="2253" spans="1:12" ht="15.75" hidden="1" thickBot="1" x14ac:dyDescent="0.3">
      <c r="A2253" s="181"/>
      <c r="B2253" s="179"/>
      <c r="C2253" s="20"/>
      <c r="D2253" s="20"/>
      <c r="E2253" s="21"/>
      <c r="F2253" s="22"/>
      <c r="G2253" s="32" t="s">
        <v>1079</v>
      </c>
      <c r="H2253" s="20"/>
      <c r="I2253" s="19" t="str">
        <f>IF(ISNUMBER(G2253),E2253*G2253,"")</f>
        <v/>
      </c>
      <c r="J2253" s="24"/>
      <c r="K2253" s="19"/>
      <c r="L2253" s="174">
        <v>0</v>
      </c>
    </row>
    <row r="2254" spans="1:12" ht="26.25" hidden="1" thickBot="1" x14ac:dyDescent="0.3">
      <c r="A2254" s="181"/>
      <c r="B2254" s="179"/>
      <c r="C2254" s="25" t="s">
        <v>1358</v>
      </c>
      <c r="D2254" s="36" t="s">
        <v>588</v>
      </c>
      <c r="E2254" s="26">
        <v>3</v>
      </c>
      <c r="F2254" s="27" t="s">
        <v>1359</v>
      </c>
      <c r="G2254" s="23">
        <v>18.762499999999999</v>
      </c>
      <c r="H2254" s="27" t="s">
        <v>1360</v>
      </c>
      <c r="I2254" s="23">
        <f>IF(ISNUMBER(G2254),E2254*G2254,"")</f>
        <v>56.287499999999994</v>
      </c>
      <c r="J2254" s="28">
        <f>SUM(I2254:I2258)</f>
        <v>219.97654699999998</v>
      </c>
      <c r="K2254" s="29"/>
      <c r="L2254" s="174">
        <v>0</v>
      </c>
    </row>
    <row r="2255" spans="1:12" ht="39" hidden="1" thickBot="1" x14ac:dyDescent="0.3">
      <c r="A2255" s="181"/>
      <c r="B2255" s="179"/>
      <c r="C2255" s="25" t="s">
        <v>1370</v>
      </c>
      <c r="D2255" s="36" t="s">
        <v>588</v>
      </c>
      <c r="E2255" s="26">
        <v>1</v>
      </c>
      <c r="F2255" s="27" t="s">
        <v>1371</v>
      </c>
      <c r="G2255" s="23">
        <v>125.875</v>
      </c>
      <c r="H2255" s="27" t="s">
        <v>1372</v>
      </c>
      <c r="I2255" s="23">
        <f>IF(ISNUMBER(G2255),E2255*G2255,"")</f>
        <v>125.875</v>
      </c>
      <c r="J2255" s="24"/>
      <c r="K2255" s="19"/>
      <c r="L2255" s="174">
        <v>0</v>
      </c>
    </row>
    <row r="2256" spans="1:12" ht="26.25" hidden="1" thickBot="1" x14ac:dyDescent="0.3">
      <c r="A2256" s="181"/>
      <c r="B2256" s="179"/>
      <c r="C2256" s="25" t="s">
        <v>1363</v>
      </c>
      <c r="D2256" s="36" t="s">
        <v>588</v>
      </c>
      <c r="E2256" s="26">
        <v>19.8</v>
      </c>
      <c r="F2256" s="27" t="s">
        <v>1371</v>
      </c>
      <c r="G2256" s="23">
        <v>3.7999999999999999E-2</v>
      </c>
      <c r="H2256" s="27" t="s">
        <v>1364</v>
      </c>
      <c r="I2256" s="23">
        <f>IF(ISNUMBER(G2256),E2256*G2256,"")</f>
        <v>0.75239999999999996</v>
      </c>
      <c r="J2256" s="24"/>
      <c r="K2256" s="19"/>
      <c r="L2256" s="174">
        <v>0</v>
      </c>
    </row>
    <row r="2257" spans="1:12" ht="15.75" hidden="1" thickBot="1" x14ac:dyDescent="0.3">
      <c r="A2257" s="181"/>
      <c r="B2257" s="179"/>
      <c r="C2257" s="25" t="s">
        <v>1365</v>
      </c>
      <c r="D2257" s="36" t="s">
        <v>1366</v>
      </c>
      <c r="E2257" s="26">
        <v>1.4139999999999999</v>
      </c>
      <c r="F2257" s="27" t="s">
        <v>1371</v>
      </c>
      <c r="G2257" s="19">
        <v>19.047499999999999</v>
      </c>
      <c r="H2257" s="27" t="s">
        <v>81</v>
      </c>
      <c r="I2257" s="23">
        <f>IF(ISNUMBER(G2257),E2257*G2257,"")</f>
        <v>26.933164999999999</v>
      </c>
      <c r="J2257" s="24"/>
      <c r="K2257" s="19"/>
      <c r="L2257" s="174">
        <v>0</v>
      </c>
    </row>
    <row r="2258" spans="1:12" ht="15.75" hidden="1" thickBot="1" x14ac:dyDescent="0.3">
      <c r="A2258" s="181"/>
      <c r="B2258" s="179"/>
      <c r="C2258" s="25" t="s">
        <v>1367</v>
      </c>
      <c r="D2258" s="36" t="s">
        <v>1366</v>
      </c>
      <c r="E2258" s="26">
        <v>0.70699999999999996</v>
      </c>
      <c r="F2258" s="27" t="s">
        <v>1371</v>
      </c>
      <c r="G2258" s="19">
        <v>14.325999999999999</v>
      </c>
      <c r="H2258" s="27" t="s">
        <v>39</v>
      </c>
      <c r="I2258" s="23">
        <f>IF(ISNUMBER(G2258),E2258*G2258,"")</f>
        <v>10.128481999999998</v>
      </c>
      <c r="J2258" s="24"/>
      <c r="K2258" s="19"/>
      <c r="L2258" s="174">
        <v>0</v>
      </c>
    </row>
    <row r="2259" spans="1:12" ht="15.75" hidden="1" thickBot="1" x14ac:dyDescent="0.3">
      <c r="A2259" s="181"/>
      <c r="B2259" s="179"/>
      <c r="C2259" s="25"/>
      <c r="D2259" s="36"/>
      <c r="E2259" s="26"/>
      <c r="F2259" s="27"/>
      <c r="G2259" s="23" t="s">
        <v>1079</v>
      </c>
      <c r="H2259" s="27"/>
      <c r="I2259" s="23" t="str">
        <f>IF(ISNUMBER(G2259),E2259*G2259,"")</f>
        <v/>
      </c>
      <c r="J2259" s="24"/>
      <c r="K2259" s="19"/>
      <c r="L2259" s="174">
        <v>0</v>
      </c>
    </row>
    <row r="2260" spans="1:12" ht="15.75" hidden="1" thickBot="1" x14ac:dyDescent="0.3">
      <c r="A2260" s="180" t="s">
        <v>1373</v>
      </c>
      <c r="B2260" s="178" t="str">
        <f>INDEX(Orçamentária!A:B,MATCH(Composições!A2260,Orçamentária!A:A,0),2)</f>
        <v>Folha de porta em madeira 2,10x0,80m, com ou sem bandeira, e dobradiças</v>
      </c>
      <c r="C2260" s="30"/>
      <c r="D2260" s="13" t="str">
        <f>TRIM(INDEX(Orçamentária!C:C,MATCH(Composições!A2260,Orçamentária!A:A,0),1))</f>
        <v>un</v>
      </c>
      <c r="E2260" s="14"/>
      <c r="F2260" s="15" t="s">
        <v>1374</v>
      </c>
      <c r="G2260" s="31" t="s">
        <v>1079</v>
      </c>
      <c r="H2260" s="16"/>
      <c r="I2260" s="16" t="str">
        <f>IF(ISNUMBER(G2260),E2260*G2260,"")</f>
        <v/>
      </c>
      <c r="J2260" s="17"/>
      <c r="K2260" s="18"/>
      <c r="L2260" s="174">
        <v>0</v>
      </c>
    </row>
    <row r="2261" spans="1:12" ht="15.75" hidden="1" thickBot="1" x14ac:dyDescent="0.3">
      <c r="A2261" s="181"/>
      <c r="B2261" s="179"/>
      <c r="C2261" s="20"/>
      <c r="D2261" s="20"/>
      <c r="E2261" s="21"/>
      <c r="F2261" s="22"/>
      <c r="G2261" s="32" t="s">
        <v>1079</v>
      </c>
      <c r="H2261" s="20"/>
      <c r="I2261" s="19" t="str">
        <f>IF(ISNUMBER(G2261),E2261*G2261,"")</f>
        <v/>
      </c>
      <c r="J2261" s="24"/>
      <c r="K2261" s="19"/>
      <c r="L2261" s="174">
        <v>0</v>
      </c>
    </row>
    <row r="2262" spans="1:12" ht="26.25" hidden="1" thickBot="1" x14ac:dyDescent="0.3">
      <c r="A2262" s="181"/>
      <c r="B2262" s="179"/>
      <c r="C2262" s="25" t="s">
        <v>1358</v>
      </c>
      <c r="D2262" s="36" t="s">
        <v>588</v>
      </c>
      <c r="E2262" s="26">
        <v>3</v>
      </c>
      <c r="F2262" s="27" t="s">
        <v>1359</v>
      </c>
      <c r="G2262" s="23">
        <v>18.762499999999999</v>
      </c>
      <c r="H2262" s="27" t="s">
        <v>1360</v>
      </c>
      <c r="I2262" s="23">
        <f>IF(ISNUMBER(G2262),E2262*G2262,"")</f>
        <v>56.287499999999994</v>
      </c>
      <c r="J2262" s="28">
        <f>SUM(I2262:I2266)</f>
        <v>311.928833</v>
      </c>
      <c r="K2262" s="29"/>
      <c r="L2262" s="174">
        <v>0</v>
      </c>
    </row>
    <row r="2263" spans="1:12" ht="39" hidden="1" thickBot="1" x14ac:dyDescent="0.3">
      <c r="A2263" s="181"/>
      <c r="B2263" s="179"/>
      <c r="C2263" s="25" t="s">
        <v>1375</v>
      </c>
      <c r="D2263" s="36" t="s">
        <v>588</v>
      </c>
      <c r="E2263" s="26">
        <v>1</v>
      </c>
      <c r="F2263" s="27" t="s">
        <v>1376</v>
      </c>
      <c r="G2263" s="23">
        <v>214.36750000000001</v>
      </c>
      <c r="H2263" s="27" t="s">
        <v>1377</v>
      </c>
      <c r="I2263" s="23">
        <f>IF(ISNUMBER(G2263),E2263*G2263,"")</f>
        <v>214.36750000000001</v>
      </c>
      <c r="J2263" s="24"/>
      <c r="K2263" s="19"/>
      <c r="L2263" s="174">
        <v>0</v>
      </c>
    </row>
    <row r="2264" spans="1:12" ht="26.25" hidden="1" thickBot="1" x14ac:dyDescent="0.3">
      <c r="A2264" s="181"/>
      <c r="B2264" s="179"/>
      <c r="C2264" s="25" t="s">
        <v>1363</v>
      </c>
      <c r="D2264" s="36" t="s">
        <v>588</v>
      </c>
      <c r="E2264" s="26">
        <v>19.8</v>
      </c>
      <c r="F2264" s="27" t="s">
        <v>1376</v>
      </c>
      <c r="G2264" s="23">
        <v>3.7999999999999999E-2</v>
      </c>
      <c r="H2264" s="27" t="s">
        <v>1364</v>
      </c>
      <c r="I2264" s="23">
        <f>IF(ISNUMBER(G2264),E2264*G2264,"")</f>
        <v>0.75239999999999996</v>
      </c>
      <c r="J2264" s="24"/>
      <c r="K2264" s="19"/>
      <c r="L2264" s="174">
        <v>0</v>
      </c>
    </row>
    <row r="2265" spans="1:12" ht="15.75" hidden="1" thickBot="1" x14ac:dyDescent="0.3">
      <c r="A2265" s="181"/>
      <c r="B2265" s="179"/>
      <c r="C2265" s="25" t="s">
        <v>1365</v>
      </c>
      <c r="D2265" s="36" t="s">
        <v>1366</v>
      </c>
      <c r="E2265" s="26">
        <v>1.546</v>
      </c>
      <c r="F2265" s="27" t="s">
        <v>1376</v>
      </c>
      <c r="G2265" s="19">
        <v>19.047499999999999</v>
      </c>
      <c r="H2265" s="27" t="s">
        <v>81</v>
      </c>
      <c r="I2265" s="23">
        <f>IF(ISNUMBER(G2265),E2265*G2265,"")</f>
        <v>29.447434999999999</v>
      </c>
      <c r="J2265" s="24"/>
      <c r="K2265" s="19"/>
      <c r="L2265" s="174">
        <v>0</v>
      </c>
    </row>
    <row r="2266" spans="1:12" ht="15.75" hidden="1" thickBot="1" x14ac:dyDescent="0.3">
      <c r="A2266" s="181"/>
      <c r="B2266" s="179"/>
      <c r="C2266" s="25" t="s">
        <v>1367</v>
      </c>
      <c r="D2266" s="36" t="s">
        <v>1366</v>
      </c>
      <c r="E2266" s="26">
        <v>0.77300000000000002</v>
      </c>
      <c r="F2266" s="27" t="s">
        <v>1376</v>
      </c>
      <c r="G2266" s="19">
        <v>14.325999999999999</v>
      </c>
      <c r="H2266" s="27" t="s">
        <v>39</v>
      </c>
      <c r="I2266" s="23">
        <f>IF(ISNUMBER(G2266),E2266*G2266,"")</f>
        <v>11.073998</v>
      </c>
      <c r="J2266" s="24"/>
      <c r="K2266" s="19"/>
      <c r="L2266" s="174">
        <v>0</v>
      </c>
    </row>
    <row r="2267" spans="1:12" ht="15.75" hidden="1" thickBot="1" x14ac:dyDescent="0.3">
      <c r="A2267" s="181"/>
      <c r="B2267" s="179"/>
      <c r="C2267" s="25"/>
      <c r="D2267" s="36"/>
      <c r="E2267" s="26"/>
      <c r="F2267" s="27"/>
      <c r="G2267" s="23" t="s">
        <v>1079</v>
      </c>
      <c r="H2267" s="27"/>
      <c r="I2267" s="23" t="str">
        <f>IF(ISNUMBER(G2267),E2267*G2267,"")</f>
        <v/>
      </c>
      <c r="J2267" s="24"/>
      <c r="K2267" s="19"/>
      <c r="L2267" s="174">
        <v>0</v>
      </c>
    </row>
    <row r="2268" spans="1:12" ht="15.75" hidden="1" thickBot="1" x14ac:dyDescent="0.3">
      <c r="A2268" s="180" t="s">
        <v>1378</v>
      </c>
      <c r="B2268" s="178" t="str">
        <f>INDEX(Orçamentária!A:B,MATCH(Composições!A2268,Orçamentária!A:A,0),2)</f>
        <v>Folha de porta em madeira 2,10x0,90m, com ou sem bandeira, e dobradiças</v>
      </c>
      <c r="C2268" s="30"/>
      <c r="D2268" s="13" t="str">
        <f>TRIM(INDEX(Orçamentária!C:C,MATCH(Composições!A2268,Orçamentária!A:A,0),1))</f>
        <v>un</v>
      </c>
      <c r="E2268" s="14"/>
      <c r="F2268" s="15" t="s">
        <v>1379</v>
      </c>
      <c r="G2268" s="31" t="s">
        <v>1079</v>
      </c>
      <c r="H2268" s="16"/>
      <c r="I2268" s="16" t="str">
        <f>IF(ISNUMBER(G2268),E2268*G2268,"")</f>
        <v/>
      </c>
      <c r="J2268" s="17"/>
      <c r="K2268" s="18"/>
      <c r="L2268" s="174">
        <v>0</v>
      </c>
    </row>
    <row r="2269" spans="1:12" ht="15.75" hidden="1" thickBot="1" x14ac:dyDescent="0.3">
      <c r="A2269" s="181"/>
      <c r="B2269" s="179"/>
      <c r="C2269" s="20"/>
      <c r="D2269" s="20"/>
      <c r="E2269" s="21"/>
      <c r="F2269" s="22"/>
      <c r="G2269" s="32" t="s">
        <v>1079</v>
      </c>
      <c r="H2269" s="20"/>
      <c r="I2269" s="19" t="str">
        <f>IF(ISNUMBER(G2269),E2269*G2269,"")</f>
        <v/>
      </c>
      <c r="J2269" s="24"/>
      <c r="K2269" s="19"/>
      <c r="L2269" s="174">
        <v>0</v>
      </c>
    </row>
    <row r="2270" spans="1:12" ht="26.25" hidden="1" thickBot="1" x14ac:dyDescent="0.3">
      <c r="A2270" s="181"/>
      <c r="B2270" s="179"/>
      <c r="C2270" s="25" t="s">
        <v>1358</v>
      </c>
      <c r="D2270" s="36" t="s">
        <v>588</v>
      </c>
      <c r="E2270" s="26">
        <v>3</v>
      </c>
      <c r="F2270" s="27" t="s">
        <v>1359</v>
      </c>
      <c r="G2270" s="23">
        <v>18.762499999999999</v>
      </c>
      <c r="H2270" s="27" t="s">
        <v>1360</v>
      </c>
      <c r="I2270" s="23">
        <f>IF(ISNUMBER(G2270),E2270*G2270,"")</f>
        <v>56.287499999999994</v>
      </c>
      <c r="J2270" s="28">
        <f>SUM(I2270:I2274)</f>
        <v>297.965619</v>
      </c>
      <c r="K2270" s="29"/>
      <c r="L2270" s="174">
        <v>0</v>
      </c>
    </row>
    <row r="2271" spans="1:12" ht="39" hidden="1" thickBot="1" x14ac:dyDescent="0.3">
      <c r="A2271" s="181"/>
      <c r="B2271" s="179"/>
      <c r="C2271" s="25" t="s">
        <v>1380</v>
      </c>
      <c r="D2271" s="36" t="s">
        <v>588</v>
      </c>
      <c r="E2271" s="26">
        <v>1</v>
      </c>
      <c r="F2271" s="27" t="s">
        <v>1381</v>
      </c>
      <c r="G2271" s="23">
        <v>196.94450000000001</v>
      </c>
      <c r="H2271" s="27" t="s">
        <v>1382</v>
      </c>
      <c r="I2271" s="23">
        <f>IF(ISNUMBER(G2271),E2271*G2271,"")</f>
        <v>196.94450000000001</v>
      </c>
      <c r="J2271" s="24"/>
      <c r="K2271" s="19"/>
      <c r="L2271" s="174">
        <v>0</v>
      </c>
    </row>
    <row r="2272" spans="1:12" ht="26.25" hidden="1" thickBot="1" x14ac:dyDescent="0.3">
      <c r="A2272" s="181"/>
      <c r="B2272" s="179"/>
      <c r="C2272" s="25" t="s">
        <v>1363</v>
      </c>
      <c r="D2272" s="36" t="s">
        <v>588</v>
      </c>
      <c r="E2272" s="26">
        <v>19.8</v>
      </c>
      <c r="F2272" s="27" t="s">
        <v>1381</v>
      </c>
      <c r="G2272" s="23">
        <v>3.7999999999999999E-2</v>
      </c>
      <c r="H2272" s="27" t="s">
        <v>1364</v>
      </c>
      <c r="I2272" s="23">
        <f>IF(ISNUMBER(G2272),E2272*G2272,"")</f>
        <v>0.75239999999999996</v>
      </c>
      <c r="J2272" s="24"/>
      <c r="K2272" s="19"/>
      <c r="L2272" s="174">
        <v>0</v>
      </c>
    </row>
    <row r="2273" spans="1:12" ht="15.75" hidden="1" thickBot="1" x14ac:dyDescent="0.3">
      <c r="A2273" s="181"/>
      <c r="B2273" s="179"/>
      <c r="C2273" s="25" t="s">
        <v>1365</v>
      </c>
      <c r="D2273" s="36" t="s">
        <v>1366</v>
      </c>
      <c r="E2273" s="26">
        <v>1.6779999999999999</v>
      </c>
      <c r="F2273" s="27" t="s">
        <v>1381</v>
      </c>
      <c r="G2273" s="19">
        <v>19.047499999999999</v>
      </c>
      <c r="H2273" s="27" t="s">
        <v>81</v>
      </c>
      <c r="I2273" s="23">
        <f>IF(ISNUMBER(G2273),E2273*G2273,"")</f>
        <v>31.961704999999998</v>
      </c>
      <c r="J2273" s="24"/>
      <c r="K2273" s="19"/>
      <c r="L2273" s="174">
        <v>0</v>
      </c>
    </row>
    <row r="2274" spans="1:12" ht="15.75" hidden="1" thickBot="1" x14ac:dyDescent="0.3">
      <c r="A2274" s="181"/>
      <c r="B2274" s="179"/>
      <c r="C2274" s="25" t="s">
        <v>1367</v>
      </c>
      <c r="D2274" s="36" t="s">
        <v>1366</v>
      </c>
      <c r="E2274" s="26">
        <v>0.83899999999999997</v>
      </c>
      <c r="F2274" s="27" t="s">
        <v>1381</v>
      </c>
      <c r="G2274" s="19">
        <v>14.325999999999999</v>
      </c>
      <c r="H2274" s="27" t="s">
        <v>39</v>
      </c>
      <c r="I2274" s="23">
        <f>IF(ISNUMBER(G2274),E2274*G2274,"")</f>
        <v>12.019513999999999</v>
      </c>
      <c r="J2274" s="24"/>
      <c r="K2274" s="19"/>
      <c r="L2274" s="174">
        <v>0</v>
      </c>
    </row>
    <row r="2275" spans="1:12" ht="15.75" hidden="1" thickBot="1" x14ac:dyDescent="0.3">
      <c r="A2275" s="181"/>
      <c r="B2275" s="179"/>
      <c r="C2275" s="25"/>
      <c r="D2275" s="36"/>
      <c r="E2275" s="26"/>
      <c r="F2275" s="27"/>
      <c r="G2275" s="23" t="s">
        <v>1079</v>
      </c>
      <c r="H2275" s="27"/>
      <c r="I2275" s="23" t="str">
        <f>IF(ISNUMBER(G2275),E2275*G2275,"")</f>
        <v/>
      </c>
      <c r="J2275" s="24"/>
      <c r="K2275" s="19"/>
      <c r="L2275" s="174">
        <v>0</v>
      </c>
    </row>
    <row r="2276" spans="1:12" ht="15.75" hidden="1" thickBot="1" x14ac:dyDescent="0.3">
      <c r="A2276" s="180" t="s">
        <v>1383</v>
      </c>
      <c r="B2276" s="178" t="str">
        <f>INDEX(Orçamentária!A:B,MATCH(Composições!A2276,Orçamentária!A:A,0),2)</f>
        <v>Folha de porta em madeira 2,10x1,0m, com ou sem bandeira, e dobradiças</v>
      </c>
      <c r="C2276" s="30"/>
      <c r="D2276" s="13" t="str">
        <f>TRIM(INDEX(Orçamentária!C:C,MATCH(Composições!A2276,Orçamentária!A:A,0),1))</f>
        <v>un</v>
      </c>
      <c r="E2276" s="14"/>
      <c r="F2276" s="15" t="s">
        <v>1379</v>
      </c>
      <c r="G2276" s="31" t="s">
        <v>1079</v>
      </c>
      <c r="H2276" s="16"/>
      <c r="I2276" s="16" t="str">
        <f>IF(ISNUMBER(G2276),E2276*G2276,"")</f>
        <v/>
      </c>
      <c r="J2276" s="17"/>
      <c r="K2276" s="18"/>
      <c r="L2276" s="174">
        <v>0</v>
      </c>
    </row>
    <row r="2277" spans="1:12" ht="15.75" hidden="1" thickBot="1" x14ac:dyDescent="0.3">
      <c r="A2277" s="181"/>
      <c r="B2277" s="179"/>
      <c r="C2277" s="20"/>
      <c r="D2277" s="20"/>
      <c r="E2277" s="21"/>
      <c r="F2277" s="22"/>
      <c r="G2277" s="32" t="s">
        <v>1079</v>
      </c>
      <c r="H2277" s="20"/>
      <c r="I2277" s="19" t="str">
        <f>IF(ISNUMBER(G2277),E2277*G2277,"")</f>
        <v/>
      </c>
      <c r="J2277" s="24"/>
      <c r="K2277" s="19"/>
      <c r="L2277" s="174">
        <v>0</v>
      </c>
    </row>
    <row r="2278" spans="1:12" ht="26.25" hidden="1" thickBot="1" x14ac:dyDescent="0.3">
      <c r="A2278" s="181"/>
      <c r="B2278" s="179"/>
      <c r="C2278" s="25" t="s">
        <v>1358</v>
      </c>
      <c r="D2278" s="36" t="s">
        <v>588</v>
      </c>
      <c r="E2278" s="26">
        <v>3</v>
      </c>
      <c r="F2278" s="27" t="s">
        <v>1359</v>
      </c>
      <c r="G2278" s="23">
        <v>18.762499999999999</v>
      </c>
      <c r="H2278" s="27" t="s">
        <v>1360</v>
      </c>
      <c r="I2278" s="23">
        <f>IF(ISNUMBER(G2278),E2278*G2278,"")</f>
        <v>56.287499999999994</v>
      </c>
      <c r="J2278" s="28">
        <f>SUM(I2278:I2282)</f>
        <v>317.04161900000003</v>
      </c>
      <c r="K2278" s="29"/>
      <c r="L2278" s="174">
        <v>0</v>
      </c>
    </row>
    <row r="2279" spans="1:12" ht="39" hidden="1" thickBot="1" x14ac:dyDescent="0.3">
      <c r="A2279" s="181"/>
      <c r="B2279" s="179"/>
      <c r="C2279" s="25" t="s">
        <v>1384</v>
      </c>
      <c r="D2279" s="36" t="s">
        <v>588</v>
      </c>
      <c r="E2279" s="26">
        <v>1</v>
      </c>
      <c r="F2279" s="27" t="s">
        <v>1381</v>
      </c>
      <c r="G2279" s="23">
        <v>216.02049999999997</v>
      </c>
      <c r="H2279" s="27" t="s">
        <v>1385</v>
      </c>
      <c r="I2279" s="23">
        <f>IF(ISNUMBER(G2279),E2279*G2279,"")</f>
        <v>216.02049999999997</v>
      </c>
      <c r="J2279" s="24"/>
      <c r="K2279" s="19"/>
      <c r="L2279" s="174">
        <v>0</v>
      </c>
    </row>
    <row r="2280" spans="1:12" ht="26.25" hidden="1" thickBot="1" x14ac:dyDescent="0.3">
      <c r="A2280" s="181"/>
      <c r="B2280" s="179"/>
      <c r="C2280" s="25" t="s">
        <v>1363</v>
      </c>
      <c r="D2280" s="36" t="s">
        <v>588</v>
      </c>
      <c r="E2280" s="26">
        <v>19.8</v>
      </c>
      <c r="F2280" s="27" t="s">
        <v>1381</v>
      </c>
      <c r="G2280" s="23">
        <v>3.7999999999999999E-2</v>
      </c>
      <c r="H2280" s="27" t="s">
        <v>1364</v>
      </c>
      <c r="I2280" s="23">
        <f>IF(ISNUMBER(G2280),E2280*G2280,"")</f>
        <v>0.75239999999999996</v>
      </c>
      <c r="J2280" s="24"/>
      <c r="K2280" s="19"/>
      <c r="L2280" s="174">
        <v>0</v>
      </c>
    </row>
    <row r="2281" spans="1:12" ht="15.75" hidden="1" thickBot="1" x14ac:dyDescent="0.3">
      <c r="A2281" s="181"/>
      <c r="B2281" s="179"/>
      <c r="C2281" s="25" t="s">
        <v>1365</v>
      </c>
      <c r="D2281" s="36" t="s">
        <v>1366</v>
      </c>
      <c r="E2281" s="26">
        <v>1.6779999999999999</v>
      </c>
      <c r="F2281" s="27" t="s">
        <v>1381</v>
      </c>
      <c r="G2281" s="19">
        <v>19.047499999999999</v>
      </c>
      <c r="H2281" s="27" t="s">
        <v>81</v>
      </c>
      <c r="I2281" s="23">
        <f>IF(ISNUMBER(G2281),E2281*G2281,"")</f>
        <v>31.961704999999998</v>
      </c>
      <c r="J2281" s="24"/>
      <c r="K2281" s="19"/>
      <c r="L2281" s="174">
        <v>0</v>
      </c>
    </row>
    <row r="2282" spans="1:12" ht="15.75" hidden="1" thickBot="1" x14ac:dyDescent="0.3">
      <c r="A2282" s="181"/>
      <c r="B2282" s="179"/>
      <c r="C2282" s="25" t="s">
        <v>1367</v>
      </c>
      <c r="D2282" s="36" t="s">
        <v>1366</v>
      </c>
      <c r="E2282" s="26">
        <v>0.83899999999999997</v>
      </c>
      <c r="F2282" s="27" t="s">
        <v>1381</v>
      </c>
      <c r="G2282" s="19">
        <v>14.325999999999999</v>
      </c>
      <c r="H2282" s="27" t="s">
        <v>39</v>
      </c>
      <c r="I2282" s="23">
        <f>IF(ISNUMBER(G2282),E2282*G2282,"")</f>
        <v>12.019513999999999</v>
      </c>
      <c r="J2282" s="24"/>
      <c r="K2282" s="19"/>
      <c r="L2282" s="174">
        <v>0</v>
      </c>
    </row>
    <row r="2283" spans="1:12" ht="15.75" hidden="1" thickBot="1" x14ac:dyDescent="0.3">
      <c r="A2283" s="181"/>
      <c r="B2283" s="179"/>
      <c r="C2283" s="25"/>
      <c r="D2283" s="36"/>
      <c r="E2283" s="26"/>
      <c r="F2283" s="27"/>
      <c r="G2283" s="23" t="s">
        <v>1079</v>
      </c>
      <c r="H2283" s="27"/>
      <c r="I2283" s="23" t="str">
        <f>IF(ISNUMBER(G2283),E2283*G2283,"")</f>
        <v/>
      </c>
      <c r="J2283" s="24"/>
      <c r="K2283" s="19"/>
      <c r="L2283" s="174">
        <v>0</v>
      </c>
    </row>
    <row r="2284" spans="1:12" ht="15.75" hidden="1" thickBot="1" x14ac:dyDescent="0.3">
      <c r="A2284" s="180" t="s">
        <v>1386</v>
      </c>
      <c r="B2284" s="178" t="str">
        <f>INDEX(Orçamentária!A:B,MATCH(Composições!A2284,Orçamentária!A:A,0),2)</f>
        <v>Instalação de batentes de madeira reaproveitados</v>
      </c>
      <c r="C2284" s="30"/>
      <c r="D2284" s="13" t="str">
        <f>TRIM(INDEX(Orçamentária!C:C,MATCH(Composições!A2284,Orçamentária!A:A,0),1))</f>
        <v>un</v>
      </c>
      <c r="E2284" s="14"/>
      <c r="F2284" s="15" t="s">
        <v>1347</v>
      </c>
      <c r="G2284" s="31" t="s">
        <v>1079</v>
      </c>
      <c r="H2284" s="16"/>
      <c r="I2284" s="16" t="str">
        <f>IF(ISNUMBER(G2284),E2284*G2284,"")</f>
        <v/>
      </c>
      <c r="J2284" s="17"/>
      <c r="K2284" s="18"/>
      <c r="L2284" s="174">
        <v>0</v>
      </c>
    </row>
    <row r="2285" spans="1:12" ht="15.75" hidden="1" thickBot="1" x14ac:dyDescent="0.3">
      <c r="A2285" s="181"/>
      <c r="B2285" s="179"/>
      <c r="C2285" s="20"/>
      <c r="D2285" s="20"/>
      <c r="E2285" s="21"/>
      <c r="F2285" s="22"/>
      <c r="G2285" s="32" t="s">
        <v>1079</v>
      </c>
      <c r="H2285" s="20"/>
      <c r="I2285" s="19" t="str">
        <f>IF(ISNUMBER(G2285),E2285*G2285,"")</f>
        <v/>
      </c>
      <c r="J2285" s="24"/>
      <c r="K2285" s="19"/>
      <c r="L2285" s="174">
        <v>0</v>
      </c>
    </row>
    <row r="2286" spans="1:12" ht="15.75" hidden="1" thickBot="1" x14ac:dyDescent="0.3">
      <c r="A2286" s="181"/>
      <c r="B2286" s="179"/>
      <c r="C2286" s="25" t="s">
        <v>186</v>
      </c>
      <c r="D2286" s="36" t="s">
        <v>75</v>
      </c>
      <c r="E2286" s="26">
        <v>0.2</v>
      </c>
      <c r="F2286" s="27" t="s">
        <v>1348</v>
      </c>
      <c r="G2286" s="23">
        <v>9.4524999999999988</v>
      </c>
      <c r="H2286" s="27" t="s">
        <v>187</v>
      </c>
      <c r="I2286" s="19">
        <f>IF(ISNUMBER(G2286),E2286*G2286,"")</f>
        <v>1.8904999999999998</v>
      </c>
      <c r="J2286" s="28">
        <f>SUM(I2286:I2291)</f>
        <v>63.265700176784989</v>
      </c>
      <c r="K2286" s="29"/>
      <c r="L2286" s="174">
        <v>0</v>
      </c>
    </row>
    <row r="2287" spans="1:12" ht="26.25" hidden="1" thickBot="1" x14ac:dyDescent="0.3">
      <c r="A2287" s="181"/>
      <c r="B2287" s="179"/>
      <c r="C2287" s="25" t="s">
        <v>1349</v>
      </c>
      <c r="D2287" s="41" t="s">
        <v>208</v>
      </c>
      <c r="E2287" s="26">
        <v>0.1671</v>
      </c>
      <c r="F2287" s="27" t="s">
        <v>1348</v>
      </c>
      <c r="G2287" s="23">
        <v>8.968</v>
      </c>
      <c r="H2287" s="27" t="s">
        <v>1350</v>
      </c>
      <c r="I2287" s="19">
        <f>IF(ISNUMBER(G2287),E2287*G2287,"")</f>
        <v>1.4985527999999999</v>
      </c>
      <c r="J2287" s="24"/>
      <c r="K2287" s="19"/>
      <c r="L2287" s="174">
        <v>0</v>
      </c>
    </row>
    <row r="2288" spans="1:12" ht="15.75" hidden="1" thickBot="1" x14ac:dyDescent="0.3">
      <c r="A2288" s="181"/>
      <c r="B2288" s="179"/>
      <c r="C2288" s="25" t="s">
        <v>79</v>
      </c>
      <c r="D2288" s="36" t="s">
        <v>21</v>
      </c>
      <c r="E2288" s="26">
        <v>0.55200000000000005</v>
      </c>
      <c r="F2288" s="27" t="s">
        <v>1348</v>
      </c>
      <c r="G2288" s="19">
        <v>19.047499999999999</v>
      </c>
      <c r="H2288" s="27" t="s">
        <v>81</v>
      </c>
      <c r="I2288" s="19">
        <f>IF(ISNUMBER(G2288),E2288*G2288,"")</f>
        <v>10.51422</v>
      </c>
      <c r="J2288" s="24"/>
      <c r="K2288" s="19"/>
      <c r="L2288" s="174">
        <v>0</v>
      </c>
    </row>
    <row r="2289" spans="1:12" ht="15.75" hidden="1" thickBot="1" x14ac:dyDescent="0.3">
      <c r="A2289" s="181"/>
      <c r="B2289" s="179"/>
      <c r="C2289" s="25" t="s">
        <v>36</v>
      </c>
      <c r="D2289" s="36" t="s">
        <v>21</v>
      </c>
      <c r="E2289" s="26">
        <v>1.3620000000000001</v>
      </c>
      <c r="F2289" s="27" t="s">
        <v>1348</v>
      </c>
      <c r="G2289" s="19">
        <v>19.142499999999998</v>
      </c>
      <c r="H2289" s="27" t="s">
        <v>37</v>
      </c>
      <c r="I2289" s="19">
        <f>IF(ISNUMBER(G2289),E2289*G2289,"")</f>
        <v>26.072085000000001</v>
      </c>
      <c r="J2289" s="24"/>
      <c r="K2289" s="19"/>
      <c r="L2289" s="174">
        <v>0</v>
      </c>
    </row>
    <row r="2290" spans="1:12" ht="15.75" hidden="1" thickBot="1" x14ac:dyDescent="0.3">
      <c r="A2290" s="181"/>
      <c r="B2290" s="179"/>
      <c r="C2290" s="25" t="s">
        <v>38</v>
      </c>
      <c r="D2290" s="36" t="s">
        <v>21</v>
      </c>
      <c r="E2290" s="26">
        <v>0.95699999999999996</v>
      </c>
      <c r="F2290" s="27" t="s">
        <v>1348</v>
      </c>
      <c r="G2290" s="19">
        <v>14.325999999999999</v>
      </c>
      <c r="H2290" s="27" t="s">
        <v>39</v>
      </c>
      <c r="I2290" s="19">
        <f>IF(ISNUMBER(G2290),E2290*G2290,"")</f>
        <v>13.709981999999998</v>
      </c>
      <c r="J2290" s="24"/>
      <c r="K2290" s="19"/>
      <c r="L2290" s="174">
        <v>0</v>
      </c>
    </row>
    <row r="2291" spans="1:12" ht="26.25" hidden="1" thickBot="1" x14ac:dyDescent="0.3">
      <c r="A2291" s="181"/>
      <c r="B2291" s="179"/>
      <c r="C2291" s="25" t="s">
        <v>227</v>
      </c>
      <c r="D2291" s="36" t="s">
        <v>252</v>
      </c>
      <c r="E2291" s="26">
        <v>2.23E-2</v>
      </c>
      <c r="F2291" s="27" t="s">
        <v>1348</v>
      </c>
      <c r="G2291" s="23">
        <v>429.61257294999996</v>
      </c>
      <c r="H2291" s="27" t="s">
        <v>229</v>
      </c>
      <c r="I2291" s="23">
        <f>IF(ISNUMBER(G2291),E2291*G2291,"")</f>
        <v>9.5803603767849985</v>
      </c>
      <c r="J2291" s="24"/>
      <c r="K2291" s="19"/>
      <c r="L2291" s="174">
        <v>0</v>
      </c>
    </row>
    <row r="2292" spans="1:12" ht="15.75" hidden="1" thickBot="1" x14ac:dyDescent="0.3">
      <c r="A2292" s="182"/>
      <c r="B2292" s="183"/>
      <c r="C2292" s="25"/>
      <c r="D2292" s="25"/>
      <c r="E2292" s="26"/>
      <c r="F2292" s="27"/>
      <c r="G2292" s="19" t="s">
        <v>1079</v>
      </c>
      <c r="H2292" s="27"/>
      <c r="I2292" s="23" t="str">
        <f>IF(ISNUMBER(G2292),E2292*G2292,"")</f>
        <v/>
      </c>
      <c r="J2292" s="24"/>
      <c r="K2292" s="19"/>
      <c r="L2292" s="174">
        <v>0</v>
      </c>
    </row>
    <row r="2293" spans="1:12" ht="15.75" hidden="1" thickBot="1" x14ac:dyDescent="0.3">
      <c r="A2293" s="180" t="s">
        <v>1387</v>
      </c>
      <c r="B2293" s="178" t="str">
        <f>INDEX(Orçamentária!A:B,MATCH(Composições!A2293,Orçamentária!A:A,0),2)</f>
        <v>Instalação de folhas de portas e dobradiças reaproveitadas</v>
      </c>
      <c r="C2293" s="30"/>
      <c r="D2293" s="13" t="str">
        <f>TRIM(INDEX(Orçamentária!C:C,MATCH(Composições!A2293,Orçamentária!A:A,0),1))</f>
        <v>un</v>
      </c>
      <c r="E2293" s="14"/>
      <c r="F2293" s="15" t="s">
        <v>1388</v>
      </c>
      <c r="G2293" s="31" t="s">
        <v>1079</v>
      </c>
      <c r="H2293" s="16"/>
      <c r="I2293" s="16" t="str">
        <f>IF(ISNUMBER(G2293),E2293*G2293,"")</f>
        <v/>
      </c>
      <c r="J2293" s="17"/>
      <c r="K2293" s="18"/>
      <c r="L2293" s="174">
        <v>0</v>
      </c>
    </row>
    <row r="2294" spans="1:12" ht="15.75" hidden="1" thickBot="1" x14ac:dyDescent="0.3">
      <c r="A2294" s="181"/>
      <c r="B2294" s="179"/>
      <c r="C2294" s="20"/>
      <c r="D2294" s="20"/>
      <c r="E2294" s="21"/>
      <c r="F2294" s="22"/>
      <c r="G2294" s="32" t="s">
        <v>1079</v>
      </c>
      <c r="H2294" s="20"/>
      <c r="I2294" s="23" t="str">
        <f>IF(ISNUMBER(G2294),E2294*G2294,"")</f>
        <v/>
      </c>
      <c r="J2294" s="24"/>
      <c r="K2294" s="19"/>
      <c r="L2294" s="174">
        <v>0</v>
      </c>
    </row>
    <row r="2295" spans="1:12" ht="26.25" hidden="1" thickBot="1" x14ac:dyDescent="0.3">
      <c r="A2295" s="181"/>
      <c r="B2295" s="179"/>
      <c r="C2295" s="25" t="s">
        <v>1363</v>
      </c>
      <c r="D2295" s="25" t="s">
        <v>588</v>
      </c>
      <c r="E2295" s="26">
        <v>19.8</v>
      </c>
      <c r="F2295" s="27" t="s">
        <v>1388</v>
      </c>
      <c r="G2295" s="19">
        <v>3.7999999999999999E-2</v>
      </c>
      <c r="H2295" s="27" t="s">
        <v>1364</v>
      </c>
      <c r="I2295" s="23">
        <f>IF(ISNUMBER(G2295),E2295*G2295,"")</f>
        <v>0.75239999999999996</v>
      </c>
      <c r="J2295" s="28">
        <f>SUM(I2295:I2298)</f>
        <v>51.721809499999992</v>
      </c>
      <c r="K2295" s="29"/>
      <c r="L2295" s="174">
        <v>0</v>
      </c>
    </row>
    <row r="2296" spans="1:12" ht="15.75" hidden="1" thickBot="1" x14ac:dyDescent="0.3">
      <c r="A2296" s="181"/>
      <c r="B2296" s="179"/>
      <c r="C2296" s="25" t="s">
        <v>1365</v>
      </c>
      <c r="D2296" s="25" t="s">
        <v>1366</v>
      </c>
      <c r="E2296" s="26">
        <v>1.546</v>
      </c>
      <c r="F2296" s="27" t="s">
        <v>1388</v>
      </c>
      <c r="G2296" s="19">
        <v>19.047499999999999</v>
      </c>
      <c r="H2296" s="27" t="s">
        <v>81</v>
      </c>
      <c r="I2296" s="23">
        <f>IF(ISNUMBER(G2296),E2296*G2296,"")</f>
        <v>29.447434999999999</v>
      </c>
      <c r="J2296" s="24"/>
      <c r="K2296" s="19"/>
      <c r="L2296" s="174">
        <v>0</v>
      </c>
    </row>
    <row r="2297" spans="1:12" ht="15.75" hidden="1" thickBot="1" x14ac:dyDescent="0.3">
      <c r="A2297" s="181"/>
      <c r="B2297" s="179"/>
      <c r="C2297" s="25" t="s">
        <v>1389</v>
      </c>
      <c r="D2297" s="25" t="s">
        <v>1366</v>
      </c>
      <c r="E2297" s="26">
        <v>0.221</v>
      </c>
      <c r="F2297" s="27" t="s">
        <v>1388</v>
      </c>
      <c r="G2297" s="19">
        <v>19.142499999999998</v>
      </c>
      <c r="H2297" s="27" t="s">
        <v>37</v>
      </c>
      <c r="I2297" s="23">
        <f>IF(ISNUMBER(G2297),E2297*G2297,"")</f>
        <v>4.2304924999999995</v>
      </c>
      <c r="J2297" s="24"/>
      <c r="K2297" s="19"/>
      <c r="L2297" s="174">
        <v>0</v>
      </c>
    </row>
    <row r="2298" spans="1:12" ht="15.75" hidden="1" thickBot="1" x14ac:dyDescent="0.3">
      <c r="A2298" s="181"/>
      <c r="B2298" s="179"/>
      <c r="C2298" s="25" t="s">
        <v>1367</v>
      </c>
      <c r="D2298" s="25" t="s">
        <v>1366</v>
      </c>
      <c r="E2298" s="26">
        <v>1.2070000000000001</v>
      </c>
      <c r="F2298" s="27" t="s">
        <v>1388</v>
      </c>
      <c r="G2298" s="19">
        <v>14.325999999999999</v>
      </c>
      <c r="H2298" s="27" t="s">
        <v>39</v>
      </c>
      <c r="I2298" s="23">
        <f>IF(ISNUMBER(G2298),E2298*G2298,"")</f>
        <v>17.291481999999998</v>
      </c>
      <c r="J2298" s="24"/>
      <c r="K2298" s="19"/>
      <c r="L2298" s="174">
        <v>0</v>
      </c>
    </row>
    <row r="2299" spans="1:12" ht="15.75" hidden="1" thickBot="1" x14ac:dyDescent="0.3">
      <c r="A2299" s="182"/>
      <c r="B2299" s="183"/>
      <c r="C2299" s="25"/>
      <c r="D2299" s="25"/>
      <c r="E2299" s="26"/>
      <c r="F2299" s="27"/>
      <c r="G2299" s="19" t="s">
        <v>1079</v>
      </c>
      <c r="H2299" s="27"/>
      <c r="I2299" s="23" t="str">
        <f>IF(ISNUMBER(G2299),E2299*G2299,"")</f>
        <v/>
      </c>
      <c r="J2299" s="24"/>
      <c r="K2299" s="19"/>
      <c r="L2299" s="174">
        <v>0</v>
      </c>
    </row>
    <row r="2300" spans="1:12" ht="15.75" thickBot="1" x14ac:dyDescent="0.3">
      <c r="A2300" s="288" t="s">
        <v>1390</v>
      </c>
      <c r="B2300" s="289" t="str">
        <f>INDEX(Orçamentária!A:B,MATCH(Composições!A2300,Orçamentária!A:A,0),2)</f>
        <v>Dobradiça para porta</v>
      </c>
      <c r="C2300" s="274"/>
      <c r="D2300" s="265" t="str">
        <f>TRIM(INDEX(Orçamentária!C:C,MATCH(Composições!A2300,Orçamentária!A:A,0),1))</f>
        <v>un</v>
      </c>
      <c r="E2300" s="290"/>
      <c r="F2300" s="259" t="s">
        <v>1391</v>
      </c>
      <c r="G2300" s="260" t="s">
        <v>1079</v>
      </c>
      <c r="H2300" s="261"/>
      <c r="I2300" s="261" t="str">
        <f>IF(ISNUMBER(G2300),E2300*G2300,"")</f>
        <v/>
      </c>
      <c r="J2300" s="280"/>
      <c r="K2300" s="18"/>
      <c r="L2300" s="174">
        <v>9</v>
      </c>
    </row>
    <row r="2301" spans="1:12" x14ac:dyDescent="0.25">
      <c r="A2301" s="291"/>
      <c r="B2301" s="292"/>
      <c r="C2301" s="155"/>
      <c r="D2301" s="155"/>
      <c r="E2301" s="293"/>
      <c r="F2301" s="294"/>
      <c r="G2301" s="262" t="s">
        <v>1079</v>
      </c>
      <c r="H2301" s="155"/>
      <c r="I2301" s="258" t="str">
        <f>IF(ISNUMBER(G2301),E2301*G2301,"")</f>
        <v/>
      </c>
      <c r="J2301" s="281"/>
      <c r="K2301" s="19"/>
      <c r="L2301" s="174">
        <v>9</v>
      </c>
    </row>
    <row r="2302" spans="1:12" ht="25.5" x14ac:dyDescent="0.25">
      <c r="A2302" s="291"/>
      <c r="B2302" s="292"/>
      <c r="C2302" s="105" t="s">
        <v>1358</v>
      </c>
      <c r="D2302" s="271" t="s">
        <v>588</v>
      </c>
      <c r="E2302" s="250">
        <v>1</v>
      </c>
      <c r="F2302" s="176" t="s">
        <v>1392</v>
      </c>
      <c r="G2302" s="258">
        <v>18.762499999999999</v>
      </c>
      <c r="H2302" s="176" t="s">
        <v>1360</v>
      </c>
      <c r="I2302" s="258">
        <f>IF(ISNUMBER(G2302),E2302*G2302,"")</f>
        <v>18.762499999999999</v>
      </c>
      <c r="J2302" s="295">
        <f>SUM(I2302:I2304)</f>
        <v>42.771318000000001</v>
      </c>
      <c r="K2302" s="29"/>
      <c r="L2302" s="174">
        <v>9</v>
      </c>
    </row>
    <row r="2303" spans="1:12" x14ac:dyDescent="0.25">
      <c r="A2303" s="291"/>
      <c r="B2303" s="292"/>
      <c r="C2303" s="105" t="s">
        <v>1367</v>
      </c>
      <c r="D2303" s="271" t="s">
        <v>21</v>
      </c>
      <c r="E2303" s="250">
        <v>0.45800000000000002</v>
      </c>
      <c r="F2303" s="176" t="s">
        <v>1392</v>
      </c>
      <c r="G2303" s="257">
        <v>14.325999999999999</v>
      </c>
      <c r="H2303" s="176" t="s">
        <v>39</v>
      </c>
      <c r="I2303" s="258">
        <f>IF(ISNUMBER(G2303),E2303*G2303,"")</f>
        <v>6.5613079999999995</v>
      </c>
      <c r="J2303" s="281"/>
      <c r="K2303" s="19"/>
      <c r="L2303" s="174">
        <v>9</v>
      </c>
    </row>
    <row r="2304" spans="1:12" x14ac:dyDescent="0.25">
      <c r="A2304" s="291"/>
      <c r="B2304" s="292"/>
      <c r="C2304" s="105" t="s">
        <v>79</v>
      </c>
      <c r="D2304" s="271" t="s">
        <v>21</v>
      </c>
      <c r="E2304" s="250">
        <v>0.91600000000000004</v>
      </c>
      <c r="F2304" s="176" t="s">
        <v>1392</v>
      </c>
      <c r="G2304" s="257">
        <v>19.047499999999999</v>
      </c>
      <c r="H2304" s="176" t="s">
        <v>81</v>
      </c>
      <c r="I2304" s="258">
        <f>IF(ISNUMBER(G2304),E2304*G2304,"")</f>
        <v>17.447510000000001</v>
      </c>
      <c r="J2304" s="281"/>
      <c r="K2304" s="19"/>
      <c r="L2304" s="174">
        <v>9</v>
      </c>
    </row>
    <row r="2305" spans="1:12" ht="15.75" thickBot="1" x14ac:dyDescent="0.3">
      <c r="A2305" s="296"/>
      <c r="B2305" s="297"/>
      <c r="C2305" s="105"/>
      <c r="D2305" s="105"/>
      <c r="E2305" s="250"/>
      <c r="F2305" s="176"/>
      <c r="G2305" s="257" t="s">
        <v>1079</v>
      </c>
      <c r="H2305" s="176"/>
      <c r="I2305" s="258" t="str">
        <f>IF(ISNUMBER(G2305),E2305*G2305,"")</f>
        <v/>
      </c>
      <c r="J2305" s="281"/>
      <c r="K2305" s="19"/>
      <c r="L2305" s="174">
        <v>9</v>
      </c>
    </row>
    <row r="2306" spans="1:12" ht="15.75" hidden="1" thickBot="1" x14ac:dyDescent="0.3">
      <c r="A2306" s="180" t="s">
        <v>1393</v>
      </c>
      <c r="B2306" s="178" t="str">
        <f>INDEX(Orçamentária!A:B,MATCH(Composições!A2306,Orçamentária!A:A,0),2)</f>
        <v>Fechadura para banheiro maçaneta em barra</v>
      </c>
      <c r="C2306" s="30"/>
      <c r="D2306" s="13" t="str">
        <f>TRIM(INDEX(Orçamentária!C:C,MATCH(Composições!A2306,Orçamentária!A:A,0),1))</f>
        <v>un</v>
      </c>
      <c r="E2306" s="14"/>
      <c r="F2306" s="15" t="s">
        <v>1394</v>
      </c>
      <c r="G2306" s="31" t="s">
        <v>1079</v>
      </c>
      <c r="H2306" s="16"/>
      <c r="I2306" s="16" t="str">
        <f>IF(ISNUMBER(G2306),E2306*G2306,"")</f>
        <v/>
      </c>
      <c r="J2306" s="17"/>
      <c r="K2306" s="18"/>
      <c r="L2306" s="174">
        <v>0</v>
      </c>
    </row>
    <row r="2307" spans="1:12" ht="15.75" hidden="1" thickBot="1" x14ac:dyDescent="0.3">
      <c r="A2307" s="181"/>
      <c r="B2307" s="179"/>
      <c r="C2307" s="20"/>
      <c r="D2307" s="20"/>
      <c r="E2307" s="21"/>
      <c r="F2307" s="22"/>
      <c r="G2307" s="32" t="s">
        <v>1079</v>
      </c>
      <c r="H2307" s="20"/>
      <c r="I2307" s="23" t="str">
        <f>IF(ISNUMBER(G2307),E2307*G2307,"")</f>
        <v/>
      </c>
      <c r="J2307" s="24"/>
      <c r="K2307" s="19"/>
      <c r="L2307" s="174">
        <v>0</v>
      </c>
    </row>
    <row r="2308" spans="1:12" ht="39" hidden="1" thickBot="1" x14ac:dyDescent="0.3">
      <c r="A2308" s="181"/>
      <c r="B2308" s="179"/>
      <c r="C2308" s="25" t="s">
        <v>1395</v>
      </c>
      <c r="D2308" s="36" t="s">
        <v>305</v>
      </c>
      <c r="E2308" s="26">
        <v>1</v>
      </c>
      <c r="F2308" s="27" t="s">
        <v>1396</v>
      </c>
      <c r="G2308" s="23" t="s">
        <v>1079</v>
      </c>
      <c r="H2308" s="27" t="s">
        <v>33</v>
      </c>
      <c r="I2308" s="23" t="str">
        <f>IF(ISNUMBER(G2308),E2308*G2308,"")</f>
        <v/>
      </c>
      <c r="J2308" s="28">
        <f>SUM(I2308:I2310)</f>
        <v>20.110616499999999</v>
      </c>
      <c r="K2308" s="29"/>
      <c r="L2308" s="174">
        <v>0</v>
      </c>
    </row>
    <row r="2309" spans="1:12" ht="15.75" hidden="1" thickBot="1" x14ac:dyDescent="0.3">
      <c r="A2309" s="181"/>
      <c r="B2309" s="179"/>
      <c r="C2309" s="25" t="s">
        <v>79</v>
      </c>
      <c r="D2309" s="36" t="s">
        <v>21</v>
      </c>
      <c r="E2309" s="26">
        <v>0.76700000000000002</v>
      </c>
      <c r="F2309" s="27" t="s">
        <v>1396</v>
      </c>
      <c r="G2309" s="19">
        <v>19.047499999999999</v>
      </c>
      <c r="H2309" s="27" t="s">
        <v>81</v>
      </c>
      <c r="I2309" s="23">
        <f>IF(ISNUMBER(G2309),E2309*G2309,"")</f>
        <v>14.6094325</v>
      </c>
      <c r="J2309" s="24"/>
      <c r="K2309" s="19"/>
      <c r="L2309" s="174">
        <v>0</v>
      </c>
    </row>
    <row r="2310" spans="1:12" ht="15.75" hidden="1" thickBot="1" x14ac:dyDescent="0.3">
      <c r="A2310" s="181"/>
      <c r="B2310" s="179"/>
      <c r="C2310" s="25" t="s">
        <v>38</v>
      </c>
      <c r="D2310" s="36" t="s">
        <v>21</v>
      </c>
      <c r="E2310" s="26">
        <v>0.38400000000000001</v>
      </c>
      <c r="F2310" s="27" t="s">
        <v>1396</v>
      </c>
      <c r="G2310" s="19">
        <v>14.325999999999999</v>
      </c>
      <c r="H2310" s="27" t="s">
        <v>39</v>
      </c>
      <c r="I2310" s="23">
        <f>IF(ISNUMBER(G2310),E2310*G2310,"")</f>
        <v>5.5011839999999994</v>
      </c>
      <c r="J2310" s="24"/>
      <c r="K2310" s="19"/>
      <c r="L2310" s="174">
        <v>0</v>
      </c>
    </row>
    <row r="2311" spans="1:12" ht="15.75" hidden="1" thickBot="1" x14ac:dyDescent="0.3">
      <c r="A2311" s="182"/>
      <c r="B2311" s="183"/>
      <c r="C2311" s="25"/>
      <c r="D2311" s="25"/>
      <c r="E2311" s="26"/>
      <c r="F2311" s="27"/>
      <c r="G2311" s="19" t="s">
        <v>1079</v>
      </c>
      <c r="H2311" s="27"/>
      <c r="I2311" s="23" t="str">
        <f>IF(ISNUMBER(G2311),E2311*G2311,"")</f>
        <v/>
      </c>
      <c r="J2311" s="24"/>
      <c r="K2311" s="19"/>
      <c r="L2311" s="174">
        <v>0</v>
      </c>
    </row>
    <row r="2312" spans="1:12" ht="15.75" thickBot="1" x14ac:dyDescent="0.3">
      <c r="A2312" s="288" t="s">
        <v>1397</v>
      </c>
      <c r="B2312" s="289" t="str">
        <f>INDEX(Orçamentária!A:B,MATCH(Composições!A2312,Orçamentária!A:A,0),2)</f>
        <v>Fechadura para porta externa maçaneta em barra</v>
      </c>
      <c r="C2312" s="274"/>
      <c r="D2312" s="265" t="str">
        <f>TRIM(INDEX(Orçamentária!C:C,MATCH(Composições!A2312,Orçamentária!A:A,0),1))</f>
        <v>un</v>
      </c>
      <c r="E2312" s="290"/>
      <c r="F2312" s="259" t="s">
        <v>1396</v>
      </c>
      <c r="G2312" s="260" t="s">
        <v>1079</v>
      </c>
      <c r="H2312" s="261"/>
      <c r="I2312" s="261" t="str">
        <f>IF(ISNUMBER(G2312),E2312*G2312,"")</f>
        <v/>
      </c>
      <c r="J2312" s="280"/>
      <c r="K2312" s="18"/>
      <c r="L2312" s="174">
        <v>2</v>
      </c>
    </row>
    <row r="2313" spans="1:12" x14ac:dyDescent="0.25">
      <c r="A2313" s="291"/>
      <c r="B2313" s="292"/>
      <c r="C2313" s="155"/>
      <c r="D2313" s="155"/>
      <c r="E2313" s="293"/>
      <c r="F2313" s="294"/>
      <c r="G2313" s="262" t="s">
        <v>1079</v>
      </c>
      <c r="H2313" s="155"/>
      <c r="I2313" s="258" t="str">
        <f>IF(ISNUMBER(G2313),E2313*G2313,"")</f>
        <v/>
      </c>
      <c r="J2313" s="281"/>
      <c r="K2313" s="19"/>
      <c r="L2313" s="174">
        <v>2</v>
      </c>
    </row>
    <row r="2314" spans="1:12" ht="38.25" x14ac:dyDescent="0.25">
      <c r="A2314" s="291"/>
      <c r="B2314" s="292"/>
      <c r="C2314" s="105" t="s">
        <v>1398</v>
      </c>
      <c r="D2314" s="271" t="s">
        <v>305</v>
      </c>
      <c r="E2314" s="250">
        <v>1</v>
      </c>
      <c r="F2314" s="176" t="s">
        <v>1396</v>
      </c>
      <c r="G2314" s="258">
        <v>129.66999999999999</v>
      </c>
      <c r="H2314" s="176" t="s">
        <v>33</v>
      </c>
      <c r="I2314" s="258">
        <f>IF(ISNUMBER(G2314),E2314*G2314,"")</f>
        <v>129.66999999999999</v>
      </c>
      <c r="J2314" s="295">
        <f>SUM(I2314:I2316)</f>
        <v>155.93292099999996</v>
      </c>
      <c r="K2314" s="29"/>
      <c r="L2314" s="174">
        <v>2</v>
      </c>
    </row>
    <row r="2315" spans="1:12" x14ac:dyDescent="0.25">
      <c r="A2315" s="291"/>
      <c r="B2315" s="292"/>
      <c r="C2315" s="105" t="s">
        <v>79</v>
      </c>
      <c r="D2315" s="271" t="s">
        <v>21</v>
      </c>
      <c r="E2315" s="250">
        <v>1.002</v>
      </c>
      <c r="F2315" s="176" t="s">
        <v>1396</v>
      </c>
      <c r="G2315" s="257">
        <v>19.047499999999999</v>
      </c>
      <c r="H2315" s="176" t="s">
        <v>81</v>
      </c>
      <c r="I2315" s="258">
        <f>IF(ISNUMBER(G2315),E2315*G2315,"")</f>
        <v>19.085594999999998</v>
      </c>
      <c r="J2315" s="281"/>
      <c r="K2315" s="19"/>
      <c r="L2315" s="174">
        <v>2</v>
      </c>
    </row>
    <row r="2316" spans="1:12" x14ac:dyDescent="0.25">
      <c r="A2316" s="291"/>
      <c r="B2316" s="292"/>
      <c r="C2316" s="105" t="s">
        <v>38</v>
      </c>
      <c r="D2316" s="271" t="s">
        <v>21</v>
      </c>
      <c r="E2316" s="250">
        <v>0.501</v>
      </c>
      <c r="F2316" s="176" t="s">
        <v>1396</v>
      </c>
      <c r="G2316" s="257">
        <v>14.325999999999999</v>
      </c>
      <c r="H2316" s="176" t="s">
        <v>39</v>
      </c>
      <c r="I2316" s="258">
        <f>IF(ISNUMBER(G2316),E2316*G2316,"")</f>
        <v>7.177325999999999</v>
      </c>
      <c r="J2316" s="281"/>
      <c r="K2316" s="19"/>
      <c r="L2316" s="174">
        <v>2</v>
      </c>
    </row>
    <row r="2317" spans="1:12" ht="15.75" thickBot="1" x14ac:dyDescent="0.3">
      <c r="A2317" s="296"/>
      <c r="B2317" s="297"/>
      <c r="C2317" s="105"/>
      <c r="D2317" s="105"/>
      <c r="E2317" s="250"/>
      <c r="F2317" s="176"/>
      <c r="G2317" s="257" t="s">
        <v>1079</v>
      </c>
      <c r="H2317" s="176"/>
      <c r="I2317" s="258" t="str">
        <f>IF(ISNUMBER(G2317),E2317*G2317,"")</f>
        <v/>
      </c>
      <c r="J2317" s="281"/>
      <c r="K2317" s="19"/>
      <c r="L2317" s="174">
        <v>2</v>
      </c>
    </row>
    <row r="2318" spans="1:12" ht="15.75" hidden="1" thickBot="1" x14ac:dyDescent="0.3">
      <c r="A2318" s="180" t="s">
        <v>1399</v>
      </c>
      <c r="B2318" s="178" t="str">
        <f>INDEX(Orçamentária!A:B,MATCH(Composições!A2318,Orçamentária!A:A,0),2)</f>
        <v>Fechadura para porta interna maçaneta tubular</v>
      </c>
      <c r="C2318" s="30"/>
      <c r="D2318" s="13" t="str">
        <f>TRIM(INDEX(Orçamentária!C:C,MATCH(Composições!A2318,Orçamentária!A:A,0),1))</f>
        <v>un</v>
      </c>
      <c r="E2318" s="14"/>
      <c r="F2318" s="15" t="s">
        <v>1396</v>
      </c>
      <c r="G2318" s="31" t="s">
        <v>1079</v>
      </c>
      <c r="H2318" s="16"/>
      <c r="I2318" s="16" t="str">
        <f>IF(ISNUMBER(G2318),E2318*G2318,"")</f>
        <v/>
      </c>
      <c r="J2318" s="17"/>
      <c r="K2318" s="18"/>
      <c r="L2318" s="174">
        <v>0</v>
      </c>
    </row>
    <row r="2319" spans="1:12" ht="15.75" hidden="1" thickBot="1" x14ac:dyDescent="0.3">
      <c r="A2319" s="181"/>
      <c r="B2319" s="179"/>
      <c r="C2319" s="20"/>
      <c r="D2319" s="20"/>
      <c r="E2319" s="21"/>
      <c r="F2319" s="22"/>
      <c r="G2319" s="32" t="s">
        <v>1079</v>
      </c>
      <c r="H2319" s="20"/>
      <c r="I2319" s="23" t="str">
        <f>IF(ISNUMBER(G2319),E2319*G2319,"")</f>
        <v/>
      </c>
      <c r="J2319" s="24"/>
      <c r="K2319" s="19"/>
      <c r="L2319" s="174">
        <v>0</v>
      </c>
    </row>
    <row r="2320" spans="1:12" ht="39" hidden="1" thickBot="1" x14ac:dyDescent="0.3">
      <c r="A2320" s="181"/>
      <c r="B2320" s="179"/>
      <c r="C2320" s="25" t="s">
        <v>1400</v>
      </c>
      <c r="D2320" s="36" t="s">
        <v>305</v>
      </c>
      <c r="E2320" s="26">
        <v>1</v>
      </c>
      <c r="F2320" s="27" t="s">
        <v>1396</v>
      </c>
      <c r="G2320" s="23" t="s">
        <v>1079</v>
      </c>
      <c r="H2320" s="27" t="s">
        <v>33</v>
      </c>
      <c r="I2320" s="23" t="str">
        <f>IF(ISNUMBER(G2320),E2320*G2320,"")</f>
        <v/>
      </c>
      <c r="J2320" s="28">
        <f>SUM(I2320:I2322)</f>
        <v>26.262920999999999</v>
      </c>
      <c r="K2320" s="29"/>
      <c r="L2320" s="174">
        <v>0</v>
      </c>
    </row>
    <row r="2321" spans="1:12" ht="15.75" hidden="1" thickBot="1" x14ac:dyDescent="0.3">
      <c r="A2321" s="181"/>
      <c r="B2321" s="179"/>
      <c r="C2321" s="25" t="s">
        <v>79</v>
      </c>
      <c r="D2321" s="36" t="s">
        <v>21</v>
      </c>
      <c r="E2321" s="26">
        <v>1.002</v>
      </c>
      <c r="F2321" s="27" t="s">
        <v>1401</v>
      </c>
      <c r="G2321" s="19">
        <v>19.047499999999999</v>
      </c>
      <c r="H2321" s="27" t="s">
        <v>81</v>
      </c>
      <c r="I2321" s="23">
        <f>IF(ISNUMBER(G2321),E2321*G2321,"")</f>
        <v>19.085594999999998</v>
      </c>
      <c r="J2321" s="24"/>
      <c r="K2321" s="19"/>
      <c r="L2321" s="174">
        <v>0</v>
      </c>
    </row>
    <row r="2322" spans="1:12" ht="15.75" hidden="1" thickBot="1" x14ac:dyDescent="0.3">
      <c r="A2322" s="181"/>
      <c r="B2322" s="179"/>
      <c r="C2322" s="25" t="s">
        <v>38</v>
      </c>
      <c r="D2322" s="36" t="s">
        <v>21</v>
      </c>
      <c r="E2322" s="26">
        <v>0.501</v>
      </c>
      <c r="F2322" s="27" t="s">
        <v>1401</v>
      </c>
      <c r="G2322" s="19">
        <v>14.325999999999999</v>
      </c>
      <c r="H2322" s="27" t="s">
        <v>39</v>
      </c>
      <c r="I2322" s="23">
        <f>IF(ISNUMBER(G2322),E2322*G2322,"")</f>
        <v>7.177325999999999</v>
      </c>
      <c r="J2322" s="24"/>
      <c r="K2322" s="19"/>
      <c r="L2322" s="174">
        <v>0</v>
      </c>
    </row>
    <row r="2323" spans="1:12" ht="15.75" hidden="1" thickBot="1" x14ac:dyDescent="0.3">
      <c r="A2323" s="182"/>
      <c r="B2323" s="183"/>
      <c r="C2323" s="25"/>
      <c r="D2323" s="25"/>
      <c r="E2323" s="26"/>
      <c r="F2323" s="27"/>
      <c r="G2323" s="19" t="s">
        <v>1079</v>
      </c>
      <c r="H2323" s="27"/>
      <c r="I2323" s="23" t="str">
        <f>IF(ISNUMBER(G2323),E2323*G2323,"")</f>
        <v/>
      </c>
      <c r="J2323" s="24"/>
      <c r="K2323" s="19"/>
      <c r="L2323" s="174">
        <v>0</v>
      </c>
    </row>
    <row r="2324" spans="1:12" ht="15.75" hidden="1" thickBot="1" x14ac:dyDescent="0.3">
      <c r="A2324" s="180" t="s">
        <v>1402</v>
      </c>
      <c r="B2324" s="178" t="str">
        <f>INDEX(Orçamentária!A:B,MATCH(Composições!A2324,Orçamentária!A:A,0),2)</f>
        <v>Instalação de fechadura/puxador de porta reaproveitados</v>
      </c>
      <c r="C2324" s="30"/>
      <c r="D2324" s="13" t="str">
        <f>TRIM(INDEX(Orçamentária!C:C,MATCH(Composições!A2324,Orçamentária!A:A,0),1))</f>
        <v>un</v>
      </c>
      <c r="E2324" s="14"/>
      <c r="F2324" s="15" t="s">
        <v>1396</v>
      </c>
      <c r="G2324" s="31" t="s">
        <v>1079</v>
      </c>
      <c r="H2324" s="16"/>
      <c r="I2324" s="16" t="str">
        <f>IF(ISNUMBER(G2324),E2324*G2324,"")</f>
        <v/>
      </c>
      <c r="J2324" s="17"/>
      <c r="K2324" s="18"/>
      <c r="L2324" s="174">
        <v>0</v>
      </c>
    </row>
    <row r="2325" spans="1:12" ht="15.75" hidden="1" thickBot="1" x14ac:dyDescent="0.3">
      <c r="A2325" s="181"/>
      <c r="B2325" s="179"/>
      <c r="C2325" s="20"/>
      <c r="D2325" s="20"/>
      <c r="E2325" s="21"/>
      <c r="F2325" s="22"/>
      <c r="G2325" s="32" t="s">
        <v>1079</v>
      </c>
      <c r="H2325" s="20"/>
      <c r="I2325" s="23" t="str">
        <f>IF(ISNUMBER(G2325),E2325*G2325,"")</f>
        <v/>
      </c>
      <c r="J2325" s="24"/>
      <c r="K2325" s="19"/>
      <c r="L2325" s="174">
        <v>0</v>
      </c>
    </row>
    <row r="2326" spans="1:12" ht="15.75" hidden="1" thickBot="1" x14ac:dyDescent="0.3">
      <c r="A2326" s="181"/>
      <c r="B2326" s="179"/>
      <c r="C2326" s="25" t="s">
        <v>79</v>
      </c>
      <c r="D2326" s="25" t="s">
        <v>21</v>
      </c>
      <c r="E2326" s="26">
        <v>1.002</v>
      </c>
      <c r="F2326" s="27" t="s">
        <v>1401</v>
      </c>
      <c r="G2326" s="19">
        <v>19.047499999999999</v>
      </c>
      <c r="H2326" s="27" t="s">
        <v>81</v>
      </c>
      <c r="I2326" s="23">
        <f>IF(ISNUMBER(G2326),E2326*G2326,"")</f>
        <v>19.085594999999998</v>
      </c>
      <c r="J2326" s="28">
        <f>SUM(I2326:I2327)</f>
        <v>26.262920999999999</v>
      </c>
      <c r="K2326" s="29"/>
      <c r="L2326" s="174">
        <v>0</v>
      </c>
    </row>
    <row r="2327" spans="1:12" ht="15.75" hidden="1" thickBot="1" x14ac:dyDescent="0.3">
      <c r="A2327" s="181"/>
      <c r="B2327" s="179"/>
      <c r="C2327" s="25" t="s">
        <v>38</v>
      </c>
      <c r="D2327" s="25" t="s">
        <v>21</v>
      </c>
      <c r="E2327" s="26">
        <v>0.501</v>
      </c>
      <c r="F2327" s="27" t="s">
        <v>1401</v>
      </c>
      <c r="G2327" s="19">
        <v>14.325999999999999</v>
      </c>
      <c r="H2327" s="27" t="s">
        <v>39</v>
      </c>
      <c r="I2327" s="23">
        <f>IF(ISNUMBER(G2327),E2327*G2327,"")</f>
        <v>7.177325999999999</v>
      </c>
      <c r="J2327" s="24"/>
      <c r="K2327" s="19"/>
      <c r="L2327" s="174">
        <v>0</v>
      </c>
    </row>
    <row r="2328" spans="1:12" ht="15.75" hidden="1" thickBot="1" x14ac:dyDescent="0.3">
      <c r="A2328" s="182"/>
      <c r="B2328" s="183"/>
      <c r="C2328" s="25"/>
      <c r="D2328" s="25"/>
      <c r="E2328" s="26"/>
      <c r="F2328" s="27"/>
      <c r="G2328" s="19" t="s">
        <v>1079</v>
      </c>
      <c r="H2328" s="27"/>
      <c r="I2328" s="23" t="str">
        <f>IF(ISNUMBER(G2328),E2328*G2328,"")</f>
        <v/>
      </c>
      <c r="J2328" s="24"/>
      <c r="K2328" s="19"/>
      <c r="L2328" s="174">
        <v>0</v>
      </c>
    </row>
    <row r="2329" spans="1:12" ht="15.75" thickBot="1" x14ac:dyDescent="0.3">
      <c r="A2329" s="288" t="s">
        <v>1403</v>
      </c>
      <c r="B2329" s="289" t="str">
        <f>INDEX(Orçamentária!A:B,MATCH(Composições!A2329,Orçamentária!A:A,0),2)</f>
        <v>Mola hidráulica aérea</v>
      </c>
      <c r="C2329" s="274"/>
      <c r="D2329" s="265" t="str">
        <f>TRIM(INDEX(Orçamentária!C:C,MATCH(Composições!A2329,Orçamentária!A:A,0),1))</f>
        <v>un</v>
      </c>
      <c r="E2329" s="290"/>
      <c r="F2329" s="259" t="s">
        <v>1404</v>
      </c>
      <c r="G2329" s="260" t="s">
        <v>1079</v>
      </c>
      <c r="H2329" s="261"/>
      <c r="I2329" s="261" t="str">
        <f>IF(ISNUMBER(G2329),E2329*G2329,"")</f>
        <v/>
      </c>
      <c r="J2329" s="280"/>
      <c r="K2329" s="18"/>
      <c r="L2329" s="174">
        <v>3</v>
      </c>
    </row>
    <row r="2330" spans="1:12" x14ac:dyDescent="0.25">
      <c r="A2330" s="291"/>
      <c r="B2330" s="292"/>
      <c r="C2330" s="155"/>
      <c r="D2330" s="155"/>
      <c r="E2330" s="293"/>
      <c r="F2330" s="294"/>
      <c r="G2330" s="262" t="s">
        <v>1079</v>
      </c>
      <c r="H2330" s="155"/>
      <c r="I2330" s="258" t="str">
        <f>IF(ISNUMBER(G2330),E2330*G2330,"")</f>
        <v/>
      </c>
      <c r="J2330" s="281"/>
      <c r="K2330" s="19"/>
      <c r="L2330" s="174">
        <v>3</v>
      </c>
    </row>
    <row r="2331" spans="1:12" x14ac:dyDescent="0.25">
      <c r="A2331" s="291"/>
      <c r="B2331" s="292"/>
      <c r="C2331" s="105" t="s">
        <v>1208</v>
      </c>
      <c r="D2331" s="105" t="s">
        <v>21</v>
      </c>
      <c r="E2331" s="250">
        <v>1</v>
      </c>
      <c r="F2331" s="176" t="s">
        <v>1404</v>
      </c>
      <c r="G2331" s="257">
        <v>19.341999999999999</v>
      </c>
      <c r="H2331" s="176" t="s">
        <v>1209</v>
      </c>
      <c r="I2331" s="258">
        <f>IF(ISNUMBER(G2331),E2331*G2331,"")</f>
        <v>19.341999999999999</v>
      </c>
      <c r="J2331" s="295">
        <f>SUM(I2331:I2332)</f>
        <v>151.38200000000001</v>
      </c>
      <c r="K2331" s="29"/>
      <c r="L2331" s="174">
        <v>3</v>
      </c>
    </row>
    <row r="2332" spans="1:12" ht="25.5" x14ac:dyDescent="0.25">
      <c r="A2332" s="291"/>
      <c r="B2332" s="292"/>
      <c r="C2332" s="105" t="s">
        <v>1405</v>
      </c>
      <c r="D2332" s="105" t="s">
        <v>32</v>
      </c>
      <c r="E2332" s="250">
        <v>1</v>
      </c>
      <c r="F2332" s="176" t="s">
        <v>1404</v>
      </c>
      <c r="G2332" s="258">
        <v>132.04</v>
      </c>
      <c r="H2332" s="176" t="s">
        <v>33</v>
      </c>
      <c r="I2332" s="258">
        <f>IF(ISNUMBER(G2332),E2332*G2332,"")</f>
        <v>132.04</v>
      </c>
      <c r="J2332" s="281"/>
      <c r="K2332" s="19"/>
      <c r="L2332" s="174">
        <v>3</v>
      </c>
    </row>
    <row r="2333" spans="1:12" ht="15.75" thickBot="1" x14ac:dyDescent="0.3">
      <c r="A2333" s="296"/>
      <c r="B2333" s="297"/>
      <c r="C2333" s="105"/>
      <c r="D2333" s="105"/>
      <c r="E2333" s="250"/>
      <c r="F2333" s="176"/>
      <c r="G2333" s="257" t="s">
        <v>1079</v>
      </c>
      <c r="H2333" s="176"/>
      <c r="I2333" s="258" t="str">
        <f>IF(ISNUMBER(G2333),E2333*G2333,"")</f>
        <v/>
      </c>
      <c r="J2333" s="281"/>
      <c r="K2333" s="19"/>
      <c r="L2333" s="174">
        <v>3</v>
      </c>
    </row>
    <row r="2334" spans="1:12" ht="15.75" hidden="1" thickBot="1" x14ac:dyDescent="0.3">
      <c r="A2334" s="180" t="s">
        <v>1406</v>
      </c>
      <c r="B2334" s="178" t="str">
        <f>INDEX(Orçamentária!A:B,MATCH(Composições!A2334,Orçamentária!A:A,0),2)</f>
        <v>Pivô em latão com acabamento cromado para portas pivotantes</v>
      </c>
      <c r="C2334" s="30"/>
      <c r="D2334" s="13" t="str">
        <f>TRIM(INDEX(Orçamentária!C:C,MATCH(Composições!A2334,Orçamentária!A:A,0),1))</f>
        <v>un</v>
      </c>
      <c r="E2334" s="14"/>
      <c r="F2334" s="15" t="s">
        <v>17</v>
      </c>
      <c r="G2334" s="31" t="s">
        <v>1079</v>
      </c>
      <c r="H2334" s="16"/>
      <c r="I2334" s="16" t="str">
        <f>IF(ISNUMBER(G2334),E2334*G2334,"")</f>
        <v/>
      </c>
      <c r="J2334" s="17"/>
      <c r="K2334" s="18"/>
      <c r="L2334" s="174">
        <v>0</v>
      </c>
    </row>
    <row r="2335" spans="1:12" ht="15.75" hidden="1" thickBot="1" x14ac:dyDescent="0.3">
      <c r="A2335" s="181"/>
      <c r="B2335" s="179"/>
      <c r="C2335" s="20"/>
      <c r="D2335" s="20"/>
      <c r="E2335" s="21"/>
      <c r="F2335" s="22"/>
      <c r="G2335" s="32" t="s">
        <v>1079</v>
      </c>
      <c r="H2335" s="20"/>
      <c r="I2335" s="23" t="str">
        <f>IF(ISNUMBER(G2335),E2335*G2335,"")</f>
        <v/>
      </c>
      <c r="J2335" s="24"/>
      <c r="K2335" s="19"/>
      <c r="L2335" s="174">
        <v>0</v>
      </c>
    </row>
    <row r="2336" spans="1:12" ht="15.75" hidden="1" thickBot="1" x14ac:dyDescent="0.3">
      <c r="A2336" s="181"/>
      <c r="B2336" s="179"/>
      <c r="C2336" s="25" t="s">
        <v>1208</v>
      </c>
      <c r="D2336" s="25" t="s">
        <v>21</v>
      </c>
      <c r="E2336" s="26">
        <f>1/2</f>
        <v>0.5</v>
      </c>
      <c r="F2336" s="27" t="s">
        <v>17</v>
      </c>
      <c r="G2336" s="19">
        <v>19.341999999999999</v>
      </c>
      <c r="H2336" s="27" t="s">
        <v>1209</v>
      </c>
      <c r="I2336" s="23">
        <f>IF(ISNUMBER(G2336),E2336*G2336,"")</f>
        <v>9.6709999999999994</v>
      </c>
      <c r="J2336" s="28">
        <f>SUM(I2336:I2337)</f>
        <v>9.6709999999999994</v>
      </c>
      <c r="K2336" s="29"/>
      <c r="L2336" s="174">
        <v>0</v>
      </c>
    </row>
    <row r="2337" spans="1:12" ht="39" hidden="1" thickBot="1" x14ac:dyDescent="0.3">
      <c r="A2337" s="181"/>
      <c r="B2337" s="179"/>
      <c r="C2337" s="25" t="s">
        <v>1407</v>
      </c>
      <c r="D2337" s="25" t="s">
        <v>32</v>
      </c>
      <c r="E2337" s="26">
        <v>1</v>
      </c>
      <c r="F2337" s="27" t="s">
        <v>17</v>
      </c>
      <c r="G2337" s="23" t="s">
        <v>1079</v>
      </c>
      <c r="H2337" s="27" t="s">
        <v>33</v>
      </c>
      <c r="I2337" s="23" t="str">
        <f>IF(ISNUMBER(G2337),E2337*G2337,"")</f>
        <v/>
      </c>
      <c r="J2337" s="24"/>
      <c r="K2337" s="19"/>
      <c r="L2337" s="174">
        <v>0</v>
      </c>
    </row>
    <row r="2338" spans="1:12" ht="15.75" hidden="1" thickBot="1" x14ac:dyDescent="0.3">
      <c r="A2338" s="182"/>
      <c r="B2338" s="183"/>
      <c r="C2338" s="25"/>
      <c r="D2338" s="25"/>
      <c r="E2338" s="26"/>
      <c r="F2338" s="27"/>
      <c r="G2338" s="19" t="s">
        <v>1079</v>
      </c>
      <c r="H2338" s="27"/>
      <c r="I2338" s="23" t="str">
        <f>IF(ISNUMBER(G2338),E2338*G2338,"")</f>
        <v/>
      </c>
      <c r="J2338" s="24"/>
      <c r="K2338" s="19"/>
      <c r="L2338" s="174">
        <v>0</v>
      </c>
    </row>
    <row r="2339" spans="1:12" ht="15.75" thickBot="1" x14ac:dyDescent="0.3">
      <c r="A2339" s="288" t="s">
        <v>1408</v>
      </c>
      <c r="B2339" s="289" t="str">
        <f>INDEX(Orçamentária!A:B,MATCH(Composições!A2339,Orçamentária!A:A,0),2)</f>
        <v>Cabo de dados tipo UTP, tipo LSZH, categoria 6</v>
      </c>
      <c r="C2339" s="274"/>
      <c r="D2339" s="265" t="str">
        <f>TRIM(INDEX(Orçamentária!C:C,MATCH(Composições!A2339,Orçamentária!A:A,0),1))</f>
        <v>m</v>
      </c>
      <c r="E2339" s="290"/>
      <c r="F2339" s="259" t="s">
        <v>1409</v>
      </c>
      <c r="G2339" s="260" t="s">
        <v>1079</v>
      </c>
      <c r="H2339" s="261"/>
      <c r="I2339" s="261" t="str">
        <f>IF(ISNUMBER(G2339),E2339*G2339,"")</f>
        <v/>
      </c>
      <c r="J2339" s="280"/>
      <c r="K2339" s="18"/>
      <c r="L2339" s="174">
        <v>40</v>
      </c>
    </row>
    <row r="2340" spans="1:12" x14ac:dyDescent="0.25">
      <c r="A2340" s="291"/>
      <c r="B2340" s="292"/>
      <c r="C2340" s="155"/>
      <c r="D2340" s="155"/>
      <c r="E2340" s="293"/>
      <c r="F2340" s="294"/>
      <c r="G2340" s="262" t="s">
        <v>1079</v>
      </c>
      <c r="H2340" s="155"/>
      <c r="I2340" s="258" t="str">
        <f>IF(ISNUMBER(G2340),E2340*G2340,"")</f>
        <v/>
      </c>
      <c r="J2340" s="281"/>
      <c r="K2340" s="19"/>
      <c r="L2340" s="174">
        <v>40</v>
      </c>
    </row>
    <row r="2341" spans="1:12" x14ac:dyDescent="0.25">
      <c r="A2341" s="291"/>
      <c r="B2341" s="292"/>
      <c r="C2341" s="105" t="s">
        <v>144</v>
      </c>
      <c r="D2341" s="105" t="s">
        <v>21</v>
      </c>
      <c r="E2341" s="250">
        <v>2.8E-3</v>
      </c>
      <c r="F2341" s="176" t="s">
        <v>1410</v>
      </c>
      <c r="G2341" s="257">
        <v>15.218999999999999</v>
      </c>
      <c r="H2341" s="176" t="s">
        <v>145</v>
      </c>
      <c r="I2341" s="258">
        <f>IF(ISNUMBER(G2341),E2341*G2341,"")</f>
        <v>4.2613199999999997E-2</v>
      </c>
      <c r="J2341" s="295">
        <f>SUM(I2341:I2343)</f>
        <v>4.013191</v>
      </c>
      <c r="K2341" s="29"/>
      <c r="L2341" s="174">
        <v>40</v>
      </c>
    </row>
    <row r="2342" spans="1:12" x14ac:dyDescent="0.25">
      <c r="A2342" s="291"/>
      <c r="B2342" s="292"/>
      <c r="C2342" s="105" t="s">
        <v>54</v>
      </c>
      <c r="D2342" s="105" t="s">
        <v>21</v>
      </c>
      <c r="E2342" s="250">
        <v>2.8E-3</v>
      </c>
      <c r="F2342" s="176" t="s">
        <v>1410</v>
      </c>
      <c r="G2342" s="257">
        <v>19.313499999999998</v>
      </c>
      <c r="H2342" s="176" t="s">
        <v>55</v>
      </c>
      <c r="I2342" s="258">
        <f>IF(ISNUMBER(G2342),E2342*G2342,"")</f>
        <v>5.4077799999999995E-2</v>
      </c>
      <c r="J2342" s="281"/>
      <c r="K2342" s="19"/>
      <c r="L2342" s="174">
        <v>40</v>
      </c>
    </row>
    <row r="2343" spans="1:12" ht="25.5" x14ac:dyDescent="0.25">
      <c r="A2343" s="291"/>
      <c r="B2343" s="292"/>
      <c r="C2343" s="105" t="s">
        <v>1411</v>
      </c>
      <c r="D2343" s="105" t="s">
        <v>184</v>
      </c>
      <c r="E2343" s="250">
        <v>1.05</v>
      </c>
      <c r="F2343" s="176" t="s">
        <v>1410</v>
      </c>
      <c r="G2343" s="258">
        <v>3.73</v>
      </c>
      <c r="H2343" s="176" t="s">
        <v>33</v>
      </c>
      <c r="I2343" s="258">
        <f>IF(ISNUMBER(G2343),E2343*G2343,"")</f>
        <v>3.9165000000000001</v>
      </c>
      <c r="J2343" s="281"/>
      <c r="K2343" s="19"/>
      <c r="L2343" s="174">
        <v>40</v>
      </c>
    </row>
    <row r="2344" spans="1:12" ht="15.75" thickBot="1" x14ac:dyDescent="0.3">
      <c r="A2344" s="296"/>
      <c r="B2344" s="297"/>
      <c r="C2344" s="105"/>
      <c r="D2344" s="105"/>
      <c r="E2344" s="250"/>
      <c r="F2344" s="176"/>
      <c r="G2344" s="257" t="s">
        <v>1079</v>
      </c>
      <c r="H2344" s="176"/>
      <c r="I2344" s="258" t="str">
        <f>IF(ISNUMBER(G2344),E2344*G2344,"")</f>
        <v/>
      </c>
      <c r="J2344" s="281"/>
      <c r="K2344" s="19"/>
      <c r="L2344" s="174">
        <v>40</v>
      </c>
    </row>
    <row r="2345" spans="1:12" ht="15.75" thickBot="1" x14ac:dyDescent="0.3">
      <c r="A2345" s="288" t="s">
        <v>1412</v>
      </c>
      <c r="B2345" s="289" t="str">
        <f>INDEX(Orçamentária!A:B,MATCH(Composições!A2345,Orçamentária!A:A,0),2)</f>
        <v>Módulo (tomada) de rede RJ45, categoria 6, com conectorização e certificação</v>
      </c>
      <c r="C2345" s="274"/>
      <c r="D2345" s="265" t="str">
        <f>TRIM(INDEX(Orçamentária!C:C,MATCH(Composições!A2345,Orçamentária!A:A,0),1))</f>
        <v>un</v>
      </c>
      <c r="E2345" s="290"/>
      <c r="F2345" s="259" t="s">
        <v>1413</v>
      </c>
      <c r="G2345" s="260" t="s">
        <v>1079</v>
      </c>
      <c r="H2345" s="261"/>
      <c r="I2345" s="261" t="str">
        <f>IF(ISNUMBER(G2345),E2345*G2345,"")</f>
        <v/>
      </c>
      <c r="J2345" s="280"/>
      <c r="K2345" s="18"/>
      <c r="L2345" s="174">
        <v>1</v>
      </c>
    </row>
    <row r="2346" spans="1:12" x14ac:dyDescent="0.25">
      <c r="A2346" s="291"/>
      <c r="B2346" s="292"/>
      <c r="C2346" s="155"/>
      <c r="D2346" s="155"/>
      <c r="E2346" s="293"/>
      <c r="F2346" s="294"/>
      <c r="G2346" s="262" t="s">
        <v>1079</v>
      </c>
      <c r="H2346" s="155"/>
      <c r="I2346" s="258" t="str">
        <f>IF(ISNUMBER(G2346),E2346*G2346,"")</f>
        <v/>
      </c>
      <c r="J2346" s="281"/>
      <c r="K2346" s="19"/>
      <c r="L2346" s="174">
        <v>1</v>
      </c>
    </row>
    <row r="2347" spans="1:12" ht="25.5" x14ac:dyDescent="0.25">
      <c r="A2347" s="291"/>
      <c r="B2347" s="292"/>
      <c r="C2347" s="105" t="s">
        <v>1414</v>
      </c>
      <c r="D2347" s="105" t="s">
        <v>305</v>
      </c>
      <c r="E2347" s="250">
        <v>1</v>
      </c>
      <c r="F2347" s="176" t="s">
        <v>17</v>
      </c>
      <c r="G2347" s="258">
        <v>238.67</v>
      </c>
      <c r="H2347" s="176" t="s">
        <v>33</v>
      </c>
      <c r="I2347" s="258">
        <f>IF(ISNUMBER(G2347),E2347*G2347,"")</f>
        <v>238.67</v>
      </c>
      <c r="J2347" s="295">
        <f>SUM(I2347:I2351)</f>
        <v>281.77120299999996</v>
      </c>
      <c r="K2347" s="29"/>
      <c r="L2347" s="174">
        <v>1</v>
      </c>
    </row>
    <row r="2348" spans="1:12" x14ac:dyDescent="0.25">
      <c r="A2348" s="291"/>
      <c r="B2348" s="292"/>
      <c r="C2348" s="105" t="s">
        <v>1415</v>
      </c>
      <c r="D2348" s="105" t="s">
        <v>305</v>
      </c>
      <c r="E2348" s="250">
        <v>1</v>
      </c>
      <c r="F2348" s="176" t="s">
        <v>17</v>
      </c>
      <c r="G2348" s="258">
        <v>24.71</v>
      </c>
      <c r="H2348" s="176" t="s">
        <v>33</v>
      </c>
      <c r="I2348" s="258">
        <f>IF(ISNUMBER(G2348),E2348*G2348,"")</f>
        <v>24.71</v>
      </c>
      <c r="J2348" s="281"/>
      <c r="K2348" s="19"/>
      <c r="L2348" s="174">
        <v>1</v>
      </c>
    </row>
    <row r="2349" spans="1:12" x14ac:dyDescent="0.25">
      <c r="A2349" s="291"/>
      <c r="B2349" s="292"/>
      <c r="C2349" s="105" t="s">
        <v>1416</v>
      </c>
      <c r="D2349" s="105" t="s">
        <v>305</v>
      </c>
      <c r="E2349" s="250">
        <v>1</v>
      </c>
      <c r="F2349" s="176" t="s">
        <v>17</v>
      </c>
      <c r="G2349" s="258">
        <v>4.1500000000000004</v>
      </c>
      <c r="H2349" s="176" t="s">
        <v>33</v>
      </c>
      <c r="I2349" s="258">
        <f>IF(ISNUMBER(G2349),E2349*G2349,"")</f>
        <v>4.1500000000000004</v>
      </c>
      <c r="J2349" s="281"/>
      <c r="K2349" s="19"/>
      <c r="L2349" s="174">
        <v>1</v>
      </c>
    </row>
    <row r="2350" spans="1:12" x14ac:dyDescent="0.25">
      <c r="A2350" s="291"/>
      <c r="B2350" s="292"/>
      <c r="C2350" s="105" t="s">
        <v>144</v>
      </c>
      <c r="D2350" s="271" t="s">
        <v>21</v>
      </c>
      <c r="E2350" s="250">
        <f>0.2062*2</f>
        <v>0.41239999999999999</v>
      </c>
      <c r="F2350" s="176" t="s">
        <v>1413</v>
      </c>
      <c r="G2350" s="257">
        <v>15.218999999999999</v>
      </c>
      <c r="H2350" s="176" t="s">
        <v>145</v>
      </c>
      <c r="I2350" s="258">
        <f>IF(ISNUMBER(G2350),E2350*G2350,"")</f>
        <v>6.2763155999999993</v>
      </c>
      <c r="J2350" s="281"/>
      <c r="K2350" s="19"/>
      <c r="L2350" s="174">
        <v>1</v>
      </c>
    </row>
    <row r="2351" spans="1:12" x14ac:dyDescent="0.25">
      <c r="A2351" s="291"/>
      <c r="B2351" s="292"/>
      <c r="C2351" s="105" t="s">
        <v>54</v>
      </c>
      <c r="D2351" s="105" t="s">
        <v>21</v>
      </c>
      <c r="E2351" s="250">
        <f>0.2062*2</f>
        <v>0.41239999999999999</v>
      </c>
      <c r="F2351" s="176" t="s">
        <v>1413</v>
      </c>
      <c r="G2351" s="257">
        <v>19.313499999999998</v>
      </c>
      <c r="H2351" s="176" t="s">
        <v>55</v>
      </c>
      <c r="I2351" s="258">
        <f>IF(ISNUMBER(G2351),E2351*G2351,"")</f>
        <v>7.9648873999999985</v>
      </c>
      <c r="J2351" s="281"/>
      <c r="K2351" s="19"/>
      <c r="L2351" s="174">
        <v>1</v>
      </c>
    </row>
    <row r="2352" spans="1:12" ht="15.75" thickBot="1" x14ac:dyDescent="0.3">
      <c r="A2352" s="296"/>
      <c r="B2352" s="297"/>
      <c r="C2352" s="105"/>
      <c r="D2352" s="105"/>
      <c r="E2352" s="250"/>
      <c r="F2352" s="176"/>
      <c r="G2352" s="257" t="s">
        <v>1079</v>
      </c>
      <c r="H2352" s="176"/>
      <c r="I2352" s="258" t="str">
        <f>IF(ISNUMBER(G2352),E2352*G2352,"")</f>
        <v/>
      </c>
      <c r="J2352" s="281"/>
      <c r="K2352" s="19"/>
      <c r="L2352" s="174">
        <v>1</v>
      </c>
    </row>
    <row r="2353" spans="1:12" ht="15.75" hidden="1" thickBot="1" x14ac:dyDescent="0.3">
      <c r="A2353" s="180" t="s">
        <v>1417</v>
      </c>
      <c r="B2353" s="178" t="str">
        <f>INDEX(Orçamentária!A:B,MATCH(Composições!A2353,Orçamentária!A:A,0),2)</f>
        <v>Painel de distribuição (patch panel) de 24 portas, categoria 6</v>
      </c>
      <c r="C2353" s="30"/>
      <c r="D2353" s="13" t="str">
        <f>TRIM(INDEX(Orçamentária!C:C,MATCH(Composições!A2353,Orçamentária!A:A,0),1))</f>
        <v>un</v>
      </c>
      <c r="E2353" s="14"/>
      <c r="F2353" s="15" t="s">
        <v>1418</v>
      </c>
      <c r="G2353" s="31" t="s">
        <v>1079</v>
      </c>
      <c r="H2353" s="16"/>
      <c r="I2353" s="16" t="str">
        <f>IF(ISNUMBER(G2353),E2353*G2353,"")</f>
        <v/>
      </c>
      <c r="J2353" s="17"/>
      <c r="K2353" s="18"/>
      <c r="L2353" s="174">
        <v>0</v>
      </c>
    </row>
    <row r="2354" spans="1:12" ht="15.75" hidden="1" thickBot="1" x14ac:dyDescent="0.3">
      <c r="A2354" s="181"/>
      <c r="B2354" s="179"/>
      <c r="C2354" s="20"/>
      <c r="D2354" s="20"/>
      <c r="E2354" s="21"/>
      <c r="F2354" s="22"/>
      <c r="G2354" s="32" t="s">
        <v>1079</v>
      </c>
      <c r="H2354" s="20"/>
      <c r="I2354" s="23" t="str">
        <f>IF(ISNUMBER(G2354),E2354*G2354,"")</f>
        <v/>
      </c>
      <c r="J2354" s="24"/>
      <c r="K2354" s="19"/>
      <c r="L2354" s="174">
        <v>0</v>
      </c>
    </row>
    <row r="2355" spans="1:12" ht="15.75" hidden="1" thickBot="1" x14ac:dyDescent="0.3">
      <c r="A2355" s="181"/>
      <c r="B2355" s="179"/>
      <c r="C2355" s="25" t="s">
        <v>144</v>
      </c>
      <c r="D2355" s="36" t="s">
        <v>21</v>
      </c>
      <c r="E2355" s="26">
        <f>6.2007</f>
        <v>6.2007000000000003</v>
      </c>
      <c r="F2355" s="27" t="s">
        <v>1419</v>
      </c>
      <c r="G2355" s="19">
        <v>15.218999999999999</v>
      </c>
      <c r="H2355" s="27" t="s">
        <v>145</v>
      </c>
      <c r="I2355" s="23">
        <f>IF(ISNUMBER(G2355),E2355*G2355,"")</f>
        <v>94.368453299999999</v>
      </c>
      <c r="J2355" s="28">
        <f>SUM(I2355:I2358)</f>
        <v>807.16567274999989</v>
      </c>
      <c r="K2355" s="29"/>
      <c r="L2355" s="174">
        <v>0</v>
      </c>
    </row>
    <row r="2356" spans="1:12" ht="15.75" hidden="1" thickBot="1" x14ac:dyDescent="0.3">
      <c r="A2356" s="181"/>
      <c r="B2356" s="179"/>
      <c r="C2356" s="25" t="s">
        <v>54</v>
      </c>
      <c r="D2356" s="25" t="s">
        <v>21</v>
      </c>
      <c r="E2356" s="26">
        <f>6.2007</f>
        <v>6.2007000000000003</v>
      </c>
      <c r="F2356" s="27" t="s">
        <v>1419</v>
      </c>
      <c r="G2356" s="19">
        <v>19.313499999999998</v>
      </c>
      <c r="H2356" s="27" t="s">
        <v>55</v>
      </c>
      <c r="I2356" s="23">
        <f>IF(ISNUMBER(G2356),E2356*G2356,"")</f>
        <v>119.75721944999999</v>
      </c>
      <c r="J2356" s="24"/>
      <c r="K2356" s="19"/>
      <c r="L2356" s="174">
        <v>0</v>
      </c>
    </row>
    <row r="2357" spans="1:12" ht="26.25" hidden="1" thickBot="1" x14ac:dyDescent="0.3">
      <c r="A2357" s="181"/>
      <c r="B2357" s="179"/>
      <c r="C2357" s="25" t="s">
        <v>1420</v>
      </c>
      <c r="D2357" s="25" t="s">
        <v>32</v>
      </c>
      <c r="E2357" s="26">
        <v>1</v>
      </c>
      <c r="F2357" s="27" t="s">
        <v>1418</v>
      </c>
      <c r="G2357" s="23" t="s">
        <v>1079</v>
      </c>
      <c r="H2357" s="27" t="s">
        <v>33</v>
      </c>
      <c r="I2357" s="23" t="str">
        <f>IF(ISNUMBER(G2357),E2357*G2357,"")</f>
        <v/>
      </c>
      <c r="J2357" s="24"/>
      <c r="K2357" s="19"/>
      <c r="L2357" s="174">
        <v>0</v>
      </c>
    </row>
    <row r="2358" spans="1:12" ht="15.75" hidden="1" thickBot="1" x14ac:dyDescent="0.3">
      <c r="A2358" s="181"/>
      <c r="B2358" s="179"/>
      <c r="C2358" s="25" t="s">
        <v>1415</v>
      </c>
      <c r="D2358" s="25" t="s">
        <v>305</v>
      </c>
      <c r="E2358" s="26">
        <v>24</v>
      </c>
      <c r="F2358" s="27" t="s">
        <v>17</v>
      </c>
      <c r="G2358" s="23">
        <v>24.71</v>
      </c>
      <c r="H2358" s="27" t="s">
        <v>33</v>
      </c>
      <c r="I2358" s="23">
        <f>IF(ISNUMBER(G2358),E2358*G2358,"")</f>
        <v>593.04</v>
      </c>
      <c r="J2358" s="24"/>
      <c r="K2358" s="19"/>
      <c r="L2358" s="174">
        <v>0</v>
      </c>
    </row>
    <row r="2359" spans="1:12" ht="15.75" hidden="1" thickBot="1" x14ac:dyDescent="0.3">
      <c r="A2359" s="182"/>
      <c r="B2359" s="183"/>
      <c r="C2359" s="25"/>
      <c r="D2359" s="25"/>
      <c r="E2359" s="26"/>
      <c r="F2359" s="27"/>
      <c r="G2359" s="19" t="s">
        <v>1079</v>
      </c>
      <c r="H2359" s="27"/>
      <c r="I2359" s="23" t="str">
        <f>IF(ISNUMBER(G2359),E2359*G2359,"")</f>
        <v/>
      </c>
      <c r="J2359" s="24"/>
      <c r="K2359" s="19"/>
      <c r="L2359" s="174">
        <v>0</v>
      </c>
    </row>
    <row r="2360" spans="1:12" ht="15.75" thickBot="1" x14ac:dyDescent="0.3">
      <c r="A2360" s="288" t="s">
        <v>1421</v>
      </c>
      <c r="B2360" s="289" t="str">
        <f>INDEX(Orçamentária!A:B,MATCH(Composições!A2360,Orçamentária!A:A,0),2)</f>
        <v>Cabo de telefonia tipo CCI 50x2</v>
      </c>
      <c r="C2360" s="274"/>
      <c r="D2360" s="265" t="str">
        <f>TRIM(INDEX(Orçamentária!C:C,MATCH(Composições!A2360,Orçamentária!A:A,0),1))</f>
        <v>m</v>
      </c>
      <c r="E2360" s="290"/>
      <c r="F2360" s="259" t="s">
        <v>1422</v>
      </c>
      <c r="G2360" s="260" t="s">
        <v>1079</v>
      </c>
      <c r="H2360" s="261"/>
      <c r="I2360" s="261" t="str">
        <f>IF(ISNUMBER(G2360),E2360*G2360,"")</f>
        <v/>
      </c>
      <c r="J2360" s="280"/>
      <c r="K2360" s="18"/>
      <c r="L2360" s="174">
        <v>167</v>
      </c>
    </row>
    <row r="2361" spans="1:12" x14ac:dyDescent="0.25">
      <c r="A2361" s="300"/>
      <c r="B2361" s="292"/>
      <c r="C2361" s="155"/>
      <c r="D2361" s="155"/>
      <c r="E2361" s="293"/>
      <c r="F2361" s="294"/>
      <c r="G2361" s="262" t="s">
        <v>1079</v>
      </c>
      <c r="H2361" s="155"/>
      <c r="I2361" s="258" t="str">
        <f>IF(ISNUMBER(G2361),E2361*G2361,"")</f>
        <v/>
      </c>
      <c r="J2361" s="281"/>
      <c r="K2361" s="19"/>
      <c r="L2361" s="174">
        <v>167</v>
      </c>
    </row>
    <row r="2362" spans="1:12" x14ac:dyDescent="0.25">
      <c r="A2362" s="300"/>
      <c r="B2362" s="292"/>
      <c r="C2362" s="105" t="s">
        <v>144</v>
      </c>
      <c r="D2362" s="271" t="s">
        <v>21</v>
      </c>
      <c r="E2362" s="250">
        <v>6.4100000000000004E-2</v>
      </c>
      <c r="F2362" s="176" t="s">
        <v>1422</v>
      </c>
      <c r="G2362" s="257">
        <v>15.218999999999999</v>
      </c>
      <c r="H2362" s="176" t="s">
        <v>145</v>
      </c>
      <c r="I2362" s="258">
        <f>IF(ISNUMBER(G2362),E2362*G2362,"")</f>
        <v>0.97553790000000007</v>
      </c>
      <c r="J2362" s="295">
        <f>SUM(I2362:I2364)</f>
        <v>3.2509332500000001</v>
      </c>
      <c r="K2362" s="29"/>
      <c r="L2362" s="174">
        <v>167</v>
      </c>
    </row>
    <row r="2363" spans="1:12" x14ac:dyDescent="0.25">
      <c r="A2363" s="300"/>
      <c r="B2363" s="292"/>
      <c r="C2363" s="105" t="s">
        <v>54</v>
      </c>
      <c r="D2363" s="105" t="s">
        <v>21</v>
      </c>
      <c r="E2363" s="250">
        <v>6.4100000000000004E-2</v>
      </c>
      <c r="F2363" s="176" t="s">
        <v>1422</v>
      </c>
      <c r="G2363" s="257">
        <v>19.313499999999998</v>
      </c>
      <c r="H2363" s="176" t="s">
        <v>55</v>
      </c>
      <c r="I2363" s="258">
        <f>IF(ISNUMBER(G2363),E2363*G2363,"")</f>
        <v>1.2379953499999998</v>
      </c>
      <c r="J2363" s="281"/>
      <c r="K2363" s="19"/>
      <c r="L2363" s="174">
        <v>167</v>
      </c>
    </row>
    <row r="2364" spans="1:12" ht="25.5" x14ac:dyDescent="0.25">
      <c r="A2364" s="300"/>
      <c r="B2364" s="292"/>
      <c r="C2364" s="105" t="s">
        <v>1423</v>
      </c>
      <c r="D2364" s="105" t="s">
        <v>184</v>
      </c>
      <c r="E2364" s="250">
        <v>1.05</v>
      </c>
      <c r="F2364" s="176" t="s">
        <v>1424</v>
      </c>
      <c r="G2364" s="258">
        <v>0.98799999999999999</v>
      </c>
      <c r="H2364" s="176" t="s">
        <v>1425</v>
      </c>
      <c r="I2364" s="258">
        <f>IF(ISNUMBER(G2364),E2364*G2364,"")</f>
        <v>1.0374000000000001</v>
      </c>
      <c r="J2364" s="281"/>
      <c r="K2364" s="19"/>
      <c r="L2364" s="174">
        <v>167</v>
      </c>
    </row>
    <row r="2365" spans="1:12" ht="15.75" thickBot="1" x14ac:dyDescent="0.3">
      <c r="A2365" s="301"/>
      <c r="B2365" s="297"/>
      <c r="C2365" s="105"/>
      <c r="D2365" s="105"/>
      <c r="E2365" s="250"/>
      <c r="F2365" s="176"/>
      <c r="G2365" s="258" t="s">
        <v>1079</v>
      </c>
      <c r="H2365" s="176"/>
      <c r="I2365" s="258" t="str">
        <f>IF(ISNUMBER(G2365),E2365*G2365,"")</f>
        <v/>
      </c>
      <c r="J2365" s="281"/>
      <c r="K2365" s="19"/>
      <c r="L2365" s="174">
        <v>167</v>
      </c>
    </row>
    <row r="2366" spans="1:12" ht="15.75" thickBot="1" x14ac:dyDescent="0.3">
      <c r="A2366" s="288" t="s">
        <v>1426</v>
      </c>
      <c r="B2366" s="289" t="str">
        <f>INDEX(Orçamentária!A:B,MATCH(Composições!A2366,Orçamentária!A:A,0),2)</f>
        <v>Módulo (tomada) de rede RJ45, para telefonia</v>
      </c>
      <c r="C2366" s="274"/>
      <c r="D2366" s="265" t="str">
        <f>TRIM(INDEX(Orçamentária!C:C,MATCH(Composições!A2366,Orçamentária!A:A,0),1))</f>
        <v>un</v>
      </c>
      <c r="E2366" s="290"/>
      <c r="F2366" s="259" t="s">
        <v>1413</v>
      </c>
      <c r="G2366" s="260" t="s">
        <v>1079</v>
      </c>
      <c r="H2366" s="261"/>
      <c r="I2366" s="261" t="str">
        <f>IF(ISNUMBER(G2366),E2366*G2366,"")</f>
        <v/>
      </c>
      <c r="J2366" s="280"/>
      <c r="K2366" s="18"/>
      <c r="L2366" s="174">
        <v>2</v>
      </c>
    </row>
    <row r="2367" spans="1:12" x14ac:dyDescent="0.25">
      <c r="A2367" s="291"/>
      <c r="B2367" s="292"/>
      <c r="C2367" s="155"/>
      <c r="D2367" s="155"/>
      <c r="E2367" s="293"/>
      <c r="F2367" s="294"/>
      <c r="G2367" s="262" t="s">
        <v>1079</v>
      </c>
      <c r="H2367" s="155"/>
      <c r="I2367" s="258" t="str">
        <f>IF(ISNUMBER(G2367),E2367*G2367,"")</f>
        <v/>
      </c>
      <c r="J2367" s="281"/>
      <c r="K2367" s="19"/>
      <c r="L2367" s="174">
        <v>2</v>
      </c>
    </row>
    <row r="2368" spans="1:12" ht="25.5" x14ac:dyDescent="0.25">
      <c r="A2368" s="291"/>
      <c r="B2368" s="292"/>
      <c r="C2368" s="105" t="s">
        <v>1427</v>
      </c>
      <c r="D2368" s="105" t="s">
        <v>305</v>
      </c>
      <c r="E2368" s="250">
        <v>1</v>
      </c>
      <c r="F2368" s="176" t="s">
        <v>17</v>
      </c>
      <c r="G2368" s="258">
        <v>238.67</v>
      </c>
      <c r="H2368" s="176" t="s">
        <v>33</v>
      </c>
      <c r="I2368" s="258">
        <f>IF(ISNUMBER(G2368),E2368*G2368,"")</f>
        <v>238.67</v>
      </c>
      <c r="J2368" s="295">
        <f>SUM(I2368:I2371)</f>
        <v>274.08160149999998</v>
      </c>
      <c r="K2368" s="29"/>
      <c r="L2368" s="174">
        <v>2</v>
      </c>
    </row>
    <row r="2369" spans="1:12" x14ac:dyDescent="0.25">
      <c r="A2369" s="291"/>
      <c r="B2369" s="292"/>
      <c r="C2369" s="105" t="s">
        <v>1428</v>
      </c>
      <c r="D2369" s="105" t="s">
        <v>588</v>
      </c>
      <c r="E2369" s="250">
        <v>1</v>
      </c>
      <c r="F2369" s="176" t="s">
        <v>17</v>
      </c>
      <c r="G2369" s="258">
        <v>28.291</v>
      </c>
      <c r="H2369" s="176" t="s">
        <v>1429</v>
      </c>
      <c r="I2369" s="258">
        <f>IF(ISNUMBER(G2369),E2369*G2369,"")</f>
        <v>28.291</v>
      </c>
      <c r="J2369" s="281"/>
      <c r="K2369" s="19"/>
      <c r="L2369" s="174">
        <v>2</v>
      </c>
    </row>
    <row r="2370" spans="1:12" x14ac:dyDescent="0.25">
      <c r="A2370" s="291"/>
      <c r="B2370" s="292"/>
      <c r="C2370" s="105" t="s">
        <v>144</v>
      </c>
      <c r="D2370" s="271" t="s">
        <v>21</v>
      </c>
      <c r="E2370" s="250">
        <v>0.20619999999999999</v>
      </c>
      <c r="F2370" s="176" t="s">
        <v>1430</v>
      </c>
      <c r="G2370" s="257">
        <v>15.218999999999999</v>
      </c>
      <c r="H2370" s="176" t="s">
        <v>145</v>
      </c>
      <c r="I2370" s="258">
        <f>IF(ISNUMBER(G2370),E2370*G2370,"")</f>
        <v>3.1381577999999997</v>
      </c>
      <c r="J2370" s="281"/>
      <c r="K2370" s="19"/>
      <c r="L2370" s="174">
        <v>2</v>
      </c>
    </row>
    <row r="2371" spans="1:12" x14ac:dyDescent="0.25">
      <c r="A2371" s="291"/>
      <c r="B2371" s="292"/>
      <c r="C2371" s="105" t="s">
        <v>54</v>
      </c>
      <c r="D2371" s="105" t="s">
        <v>21</v>
      </c>
      <c r="E2371" s="250">
        <v>0.20619999999999999</v>
      </c>
      <c r="F2371" s="176" t="s">
        <v>1430</v>
      </c>
      <c r="G2371" s="257">
        <v>19.313499999999998</v>
      </c>
      <c r="H2371" s="176" t="s">
        <v>55</v>
      </c>
      <c r="I2371" s="258">
        <f>IF(ISNUMBER(G2371),E2371*G2371,"")</f>
        <v>3.9824436999999993</v>
      </c>
      <c r="J2371" s="281"/>
      <c r="K2371" s="19"/>
      <c r="L2371" s="174">
        <v>2</v>
      </c>
    </row>
    <row r="2372" spans="1:12" ht="15.75" thickBot="1" x14ac:dyDescent="0.3">
      <c r="A2372" s="296"/>
      <c r="B2372" s="297"/>
      <c r="C2372" s="105"/>
      <c r="D2372" s="105"/>
      <c r="E2372" s="250"/>
      <c r="F2372" s="176"/>
      <c r="G2372" s="257" t="s">
        <v>1079</v>
      </c>
      <c r="H2372" s="176"/>
      <c r="I2372" s="258" t="str">
        <f>IF(ISNUMBER(G2372),E2372*G2372,"")</f>
        <v/>
      </c>
      <c r="J2372" s="281"/>
      <c r="K2372" s="19"/>
      <c r="L2372" s="174">
        <v>2</v>
      </c>
    </row>
    <row r="2373" spans="1:12" ht="15.75" hidden="1" thickBot="1" x14ac:dyDescent="0.3">
      <c r="A2373" s="180" t="s">
        <v>1431</v>
      </c>
      <c r="B2373" s="178" t="str">
        <f>INDEX(Orçamentária!A:B,MATCH(Composições!A2373,Orçamentária!A:A,0),2)</f>
        <v>Grelha para retorno para portas, divisórias e paredes 525x325 mm</v>
      </c>
      <c r="C2373" s="30"/>
      <c r="D2373" s="13" t="str">
        <f>TRIM(INDEX(Orçamentária!C:C,MATCH(Composições!A2373,Orçamentária!A:A,0),1))</f>
        <v>un</v>
      </c>
      <c r="E2373" s="14"/>
      <c r="F2373" s="15" t="s">
        <v>1432</v>
      </c>
      <c r="G2373" s="31" t="s">
        <v>1079</v>
      </c>
      <c r="H2373" s="16"/>
      <c r="I2373" s="16" t="str">
        <f>IF(ISNUMBER(G2373),E2373*G2373,"")</f>
        <v/>
      </c>
      <c r="J2373" s="17"/>
      <c r="K2373" s="18"/>
      <c r="L2373" s="174">
        <v>0</v>
      </c>
    </row>
    <row r="2374" spans="1:12" ht="15.75" hidden="1" thickBot="1" x14ac:dyDescent="0.3">
      <c r="A2374" s="181"/>
      <c r="B2374" s="179"/>
      <c r="C2374" s="20"/>
      <c r="D2374" s="20"/>
      <c r="E2374" s="21"/>
      <c r="F2374" s="22"/>
      <c r="G2374" s="32" t="s">
        <v>1079</v>
      </c>
      <c r="H2374" s="20"/>
      <c r="I2374" s="23" t="str">
        <f>IF(ISNUMBER(G2374),E2374*G2374,"")</f>
        <v/>
      </c>
      <c r="J2374" s="24"/>
      <c r="K2374" s="19"/>
      <c r="L2374" s="174">
        <v>0</v>
      </c>
    </row>
    <row r="2375" spans="1:12" ht="15.75" hidden="1" thickBot="1" x14ac:dyDescent="0.3">
      <c r="A2375" s="181"/>
      <c r="B2375" s="179"/>
      <c r="C2375" s="25" t="s">
        <v>96</v>
      </c>
      <c r="D2375" s="36" t="s">
        <v>21</v>
      </c>
      <c r="E2375" s="26">
        <v>3.5</v>
      </c>
      <c r="F2375" s="27" t="s">
        <v>1433</v>
      </c>
      <c r="G2375" s="19">
        <v>15.275999999999998</v>
      </c>
      <c r="H2375" s="27" t="s">
        <v>98</v>
      </c>
      <c r="I2375" s="23">
        <f>IF(ISNUMBER(G2375),E2375*G2375,"")</f>
        <v>53.465999999999994</v>
      </c>
      <c r="J2375" s="28">
        <f>SUM(I2375:I2377)</f>
        <v>123.39075</v>
      </c>
      <c r="K2375" s="29"/>
      <c r="L2375" s="174">
        <v>0</v>
      </c>
    </row>
    <row r="2376" spans="1:12" ht="26.25" hidden="1" thickBot="1" x14ac:dyDescent="0.3">
      <c r="A2376" s="181"/>
      <c r="B2376" s="179"/>
      <c r="C2376" s="25" t="s">
        <v>1157</v>
      </c>
      <c r="D2376" s="36" t="s">
        <v>21</v>
      </c>
      <c r="E2376" s="26">
        <v>3.5</v>
      </c>
      <c r="F2376" s="27" t="s">
        <v>1433</v>
      </c>
      <c r="G2376" s="19">
        <v>19.9785</v>
      </c>
      <c r="H2376" s="27" t="s">
        <v>161</v>
      </c>
      <c r="I2376" s="23">
        <f>IF(ISNUMBER(G2376),E2376*G2376,"")</f>
        <v>69.924750000000003</v>
      </c>
      <c r="J2376" s="24"/>
      <c r="K2376" s="19"/>
      <c r="L2376" s="174">
        <v>0</v>
      </c>
    </row>
    <row r="2377" spans="1:12" ht="26.25" hidden="1" thickBot="1" x14ac:dyDescent="0.3">
      <c r="A2377" s="181"/>
      <c r="B2377" s="179"/>
      <c r="C2377" s="25" t="s">
        <v>1434</v>
      </c>
      <c r="D2377" s="25" t="s">
        <v>305</v>
      </c>
      <c r="E2377" s="26">
        <v>1</v>
      </c>
      <c r="F2377" s="27" t="s">
        <v>1433</v>
      </c>
      <c r="G2377" s="23" t="s">
        <v>1079</v>
      </c>
      <c r="H2377" s="27" t="s">
        <v>33</v>
      </c>
      <c r="I2377" s="23" t="str">
        <f>IF(ISNUMBER(G2377),E2377*G2377,"")</f>
        <v/>
      </c>
      <c r="J2377" s="24"/>
      <c r="K2377" s="19"/>
      <c r="L2377" s="174">
        <v>0</v>
      </c>
    </row>
    <row r="2378" spans="1:12" ht="15.75" hidden="1" thickBot="1" x14ac:dyDescent="0.3">
      <c r="A2378" s="182"/>
      <c r="B2378" s="183"/>
      <c r="C2378" s="25"/>
      <c r="D2378" s="25"/>
      <c r="E2378" s="26"/>
      <c r="F2378" s="27"/>
      <c r="G2378" s="19" t="s">
        <v>1079</v>
      </c>
      <c r="H2378" s="27"/>
      <c r="I2378" s="23" t="str">
        <f>IF(ISNUMBER(G2378),E2378*G2378,"")</f>
        <v/>
      </c>
      <c r="J2378" s="24"/>
      <c r="K2378" s="19"/>
      <c r="L2378" s="174">
        <v>0</v>
      </c>
    </row>
    <row r="2379" spans="1:12" ht="15.75" thickBot="1" x14ac:dyDescent="0.3">
      <c r="A2379" s="288" t="s">
        <v>1435</v>
      </c>
      <c r="B2379" s="289" t="str">
        <f>INDEX(Orçamentária!A:B,MATCH(Composições!A2379,Orçamentária!A:A,0),2)</f>
        <v>Fechadura para Porta Externa com Espelho - Millenio</v>
      </c>
      <c r="C2379" s="274"/>
      <c r="D2379" s="265" t="str">
        <f>TRIM(INDEX(Orçamentária!C:C,MATCH(Composições!A2379,Orçamentária!A:A,0),1))</f>
        <v>un</v>
      </c>
      <c r="E2379" s="290"/>
      <c r="F2379" s="259" t="s">
        <v>1436</v>
      </c>
      <c r="G2379" s="260" t="s">
        <v>1079</v>
      </c>
      <c r="H2379" s="261"/>
      <c r="I2379" s="261" t="str">
        <f>IF(ISNUMBER(G2379),E2379*G2379,"")</f>
        <v/>
      </c>
      <c r="J2379" s="280"/>
      <c r="K2379" s="18"/>
      <c r="L2379" s="174">
        <v>4</v>
      </c>
    </row>
    <row r="2380" spans="1:12" x14ac:dyDescent="0.25">
      <c r="A2380" s="291"/>
      <c r="B2380" s="292"/>
      <c r="C2380" s="155"/>
      <c r="D2380" s="155"/>
      <c r="E2380" s="293"/>
      <c r="F2380" s="294"/>
      <c r="G2380" s="262" t="s">
        <v>1079</v>
      </c>
      <c r="H2380" s="155"/>
      <c r="I2380" s="258" t="str">
        <f>IF(ISNUMBER(G2380),E2380*G2380,"")</f>
        <v/>
      </c>
      <c r="J2380" s="281"/>
      <c r="K2380" s="19"/>
      <c r="L2380" s="174">
        <v>4</v>
      </c>
    </row>
    <row r="2381" spans="1:12" ht="51" x14ac:dyDescent="0.25">
      <c r="A2381" s="291"/>
      <c r="B2381" s="292"/>
      <c r="C2381" s="105" t="s">
        <v>1437</v>
      </c>
      <c r="D2381" s="271" t="s">
        <v>1438</v>
      </c>
      <c r="E2381" s="250">
        <v>1</v>
      </c>
      <c r="F2381" s="176" t="s">
        <v>1436</v>
      </c>
      <c r="G2381" s="257">
        <v>47.404999999999994</v>
      </c>
      <c r="H2381" s="176" t="s">
        <v>1436</v>
      </c>
      <c r="I2381" s="258">
        <f>IF(ISNUMBER(G2381),E2381*G2381,"")</f>
        <v>47.404999999999994</v>
      </c>
      <c r="J2381" s="295">
        <f>SUM(I2381:I2381)</f>
        <v>47.404999999999994</v>
      </c>
      <c r="K2381" s="29"/>
      <c r="L2381" s="174">
        <v>4</v>
      </c>
    </row>
    <row r="2382" spans="1:12" ht="15.75" thickBot="1" x14ac:dyDescent="0.3">
      <c r="A2382" s="296"/>
      <c r="B2382" s="297"/>
      <c r="C2382" s="105"/>
      <c r="D2382" s="105"/>
      <c r="E2382" s="250"/>
      <c r="F2382" s="176"/>
      <c r="G2382" s="257" t="s">
        <v>1079</v>
      </c>
      <c r="H2382" s="176"/>
      <c r="I2382" s="258" t="str">
        <f>IF(ISNUMBER(G2382),E2382*G2382,"")</f>
        <v/>
      </c>
      <c r="J2382" s="281"/>
      <c r="K2382" s="19"/>
      <c r="L2382" s="174">
        <v>4</v>
      </c>
    </row>
    <row r="2383" spans="1:12" ht="15.75" hidden="1" thickBot="1" x14ac:dyDescent="0.3">
      <c r="A2383" s="180" t="s">
        <v>1439</v>
      </c>
      <c r="B2383" s="178" t="str">
        <f>INDEX(Orçamentária!A:B,MATCH(Composições!A2383,Orçamentária!A:A,0),2)</f>
        <v>Espuma Expansiva à base de poliuretano</v>
      </c>
      <c r="C2383" s="30"/>
      <c r="D2383" s="13" t="str">
        <f>TRIM(INDEX(Orçamentária!C:C,MATCH(Composições!A2383,Orçamentária!A:A,0),1))</f>
        <v>500 ml</v>
      </c>
      <c r="E2383" s="14"/>
      <c r="F2383" s="15" t="s">
        <v>1440</v>
      </c>
      <c r="G2383" s="31" t="s">
        <v>1079</v>
      </c>
      <c r="H2383" s="16"/>
      <c r="I2383" s="16" t="str">
        <f>IF(ISNUMBER(G2383),E2383*G2383,"")</f>
        <v/>
      </c>
      <c r="J2383" s="17"/>
      <c r="K2383" s="18"/>
      <c r="L2383" s="174">
        <v>0</v>
      </c>
    </row>
    <row r="2384" spans="1:12" ht="15.75" hidden="1" thickBot="1" x14ac:dyDescent="0.3">
      <c r="A2384" s="181"/>
      <c r="B2384" s="179"/>
      <c r="C2384" s="20"/>
      <c r="D2384" s="20"/>
      <c r="E2384" s="21"/>
      <c r="F2384" s="22"/>
      <c r="G2384" s="32" t="s">
        <v>1079</v>
      </c>
      <c r="H2384" s="20"/>
      <c r="I2384" s="23" t="str">
        <f>IF(ISNUMBER(G2384),E2384*G2384,"")</f>
        <v/>
      </c>
      <c r="J2384" s="24"/>
      <c r="K2384" s="19"/>
      <c r="L2384" s="174">
        <v>0</v>
      </c>
    </row>
    <row r="2385" spans="1:12" ht="26.25" hidden="1" thickBot="1" x14ac:dyDescent="0.3">
      <c r="A2385" s="181"/>
      <c r="B2385" s="179"/>
      <c r="C2385" s="25" t="s">
        <v>1441</v>
      </c>
      <c r="D2385" s="36" t="s">
        <v>588</v>
      </c>
      <c r="E2385" s="26">
        <v>1</v>
      </c>
      <c r="F2385" s="27" t="s">
        <v>1440</v>
      </c>
      <c r="G2385" s="19">
        <v>21.222999999999999</v>
      </c>
      <c r="H2385" s="27" t="s">
        <v>1440</v>
      </c>
      <c r="I2385" s="23">
        <f>IF(ISNUMBER(G2385),E2385*G2385,"")</f>
        <v>21.222999999999999</v>
      </c>
      <c r="J2385" s="28">
        <f>SUM(I2385:I2385)</f>
        <v>21.222999999999999</v>
      </c>
      <c r="K2385" s="29"/>
      <c r="L2385" s="174">
        <v>0</v>
      </c>
    </row>
    <row r="2386" spans="1:12" ht="15.75" hidden="1" thickBot="1" x14ac:dyDescent="0.3">
      <c r="A2386" s="182"/>
      <c r="B2386" s="183"/>
      <c r="C2386" s="25"/>
      <c r="D2386" s="25"/>
      <c r="E2386" s="26"/>
      <c r="F2386" s="27"/>
      <c r="G2386" s="19" t="s">
        <v>1079</v>
      </c>
      <c r="H2386" s="27"/>
      <c r="I2386" s="23" t="str">
        <f>IF(ISNUMBER(G2386),E2386*G2386,"")</f>
        <v/>
      </c>
      <c r="J2386" s="24"/>
      <c r="K2386" s="19"/>
      <c r="L2386" s="174">
        <v>0</v>
      </c>
    </row>
    <row r="2387" spans="1:12" ht="15.75" hidden="1" thickBot="1" x14ac:dyDescent="0.3">
      <c r="A2387" s="180" t="s">
        <v>1442</v>
      </c>
      <c r="B2387" s="178" t="str">
        <f>INDEX(Orçamentária!A:B,MATCH(Composições!A2387,Orçamentária!A:A,0),2)</f>
        <v>Argamassa Para Contrapiso</v>
      </c>
      <c r="C2387" s="30"/>
      <c r="D2387" s="13" t="str">
        <f>TRIM(INDEX(Orçamentária!C:C,MATCH(Composições!A2387,Orçamentária!A:A,0),1))</f>
        <v>40 kg</v>
      </c>
      <c r="E2387" s="14"/>
      <c r="F2387" s="15" t="s">
        <v>17</v>
      </c>
      <c r="G2387" s="31" t="s">
        <v>1079</v>
      </c>
      <c r="H2387" s="16"/>
      <c r="I2387" s="16" t="str">
        <f>IF(ISNUMBER(G2387),E2387*G2387,"")</f>
        <v/>
      </c>
      <c r="J2387" s="17"/>
      <c r="K2387" s="18"/>
      <c r="L2387" s="174">
        <v>0</v>
      </c>
    </row>
    <row r="2388" spans="1:12" ht="15.75" hidden="1" thickBot="1" x14ac:dyDescent="0.3">
      <c r="A2388" s="181"/>
      <c r="B2388" s="179"/>
      <c r="C2388" s="20"/>
      <c r="D2388" s="20"/>
      <c r="E2388" s="21"/>
      <c r="F2388" s="22"/>
      <c r="G2388" s="32" t="s">
        <v>1079</v>
      </c>
      <c r="H2388" s="20"/>
      <c r="I2388" s="23" t="str">
        <f>IF(ISNUMBER(G2388),E2388*G2388,"")</f>
        <v/>
      </c>
      <c r="J2388" s="24"/>
      <c r="K2388" s="19"/>
      <c r="L2388" s="174">
        <v>0</v>
      </c>
    </row>
    <row r="2389" spans="1:12" ht="15.75" hidden="1" thickBot="1" x14ac:dyDescent="0.3">
      <c r="A2389" s="181"/>
      <c r="B2389" s="179"/>
      <c r="C2389" s="25" t="s">
        <v>1443</v>
      </c>
      <c r="D2389" s="36" t="s">
        <v>75</v>
      </c>
      <c r="E2389" s="26">
        <v>40</v>
      </c>
      <c r="F2389" s="27" t="s">
        <v>17</v>
      </c>
      <c r="G2389" s="19">
        <v>0.39899999999999997</v>
      </c>
      <c r="H2389" s="27" t="s">
        <v>1444</v>
      </c>
      <c r="I2389" s="23">
        <f>IF(ISNUMBER(G2389),E2389*G2389,"")</f>
        <v>15.959999999999999</v>
      </c>
      <c r="J2389" s="28">
        <f>SUM(I2389:I2389)</f>
        <v>15.959999999999999</v>
      </c>
      <c r="K2389" s="29"/>
      <c r="L2389" s="174">
        <v>0</v>
      </c>
    </row>
    <row r="2390" spans="1:12" ht="15.75" hidden="1" thickBot="1" x14ac:dyDescent="0.3">
      <c r="A2390" s="182"/>
      <c r="B2390" s="183"/>
      <c r="C2390" s="25"/>
      <c r="D2390" s="25"/>
      <c r="E2390" s="26"/>
      <c r="F2390" s="27"/>
      <c r="G2390" s="19" t="s">
        <v>1079</v>
      </c>
      <c r="H2390" s="27"/>
      <c r="I2390" s="23" t="str">
        <f>IF(ISNUMBER(G2390),E2390*G2390,"")</f>
        <v/>
      </c>
      <c r="J2390" s="24"/>
      <c r="K2390" s="19"/>
      <c r="L2390" s="174">
        <v>0</v>
      </c>
    </row>
    <row r="2391" spans="1:12" ht="15.75" hidden="1" thickBot="1" x14ac:dyDescent="0.3">
      <c r="A2391" s="180" t="s">
        <v>1445</v>
      </c>
      <c r="B2391" s="178" t="str">
        <f>INDEX(Orçamentária!A:B,MATCH(Composições!A2391,Orçamentária!A:A,0),2)</f>
        <v>Argamassa Múltiplo Uso</v>
      </c>
      <c r="C2391" s="30"/>
      <c r="D2391" s="13" t="str">
        <f>TRIM(INDEX(Orçamentária!C:C,MATCH(Composições!A2391,Orçamentária!A:A,0),1))</f>
        <v>40 kg</v>
      </c>
      <c r="E2391" s="14"/>
      <c r="F2391" s="15" t="s">
        <v>17</v>
      </c>
      <c r="G2391" s="31" t="s">
        <v>1079</v>
      </c>
      <c r="H2391" s="16"/>
      <c r="I2391" s="16" t="str">
        <f>IF(ISNUMBER(G2391),E2391*G2391,"")</f>
        <v/>
      </c>
      <c r="J2391" s="17"/>
      <c r="K2391" s="18"/>
      <c r="L2391" s="174">
        <v>0</v>
      </c>
    </row>
    <row r="2392" spans="1:12" ht="15.75" hidden="1" thickBot="1" x14ac:dyDescent="0.3">
      <c r="A2392" s="181"/>
      <c r="B2392" s="179"/>
      <c r="C2392" s="20"/>
      <c r="D2392" s="20"/>
      <c r="E2392" s="21"/>
      <c r="F2392" s="22"/>
      <c r="G2392" s="32" t="s">
        <v>1079</v>
      </c>
      <c r="H2392" s="20"/>
      <c r="I2392" s="23" t="str">
        <f>IF(ISNUMBER(G2392),E2392*G2392,"")</f>
        <v/>
      </c>
      <c r="J2392" s="24"/>
      <c r="K2392" s="19"/>
      <c r="L2392" s="174">
        <v>0</v>
      </c>
    </row>
    <row r="2393" spans="1:12" ht="26.25" hidden="1" thickBot="1" x14ac:dyDescent="0.3">
      <c r="A2393" s="181"/>
      <c r="B2393" s="179"/>
      <c r="C2393" s="25" t="s">
        <v>1446</v>
      </c>
      <c r="D2393" s="36" t="s">
        <v>75</v>
      </c>
      <c r="E2393" s="26">
        <v>40</v>
      </c>
      <c r="F2393" s="27" t="s">
        <v>17</v>
      </c>
      <c r="G2393" s="19">
        <v>0.34199999999999997</v>
      </c>
      <c r="H2393" s="27" t="s">
        <v>394</v>
      </c>
      <c r="I2393" s="23">
        <f>IF(ISNUMBER(G2393),E2393*G2393,"")</f>
        <v>13.68</v>
      </c>
      <c r="J2393" s="28">
        <f>SUM(I2393:I2393)</f>
        <v>13.68</v>
      </c>
      <c r="K2393" s="29"/>
      <c r="L2393" s="174">
        <v>0</v>
      </c>
    </row>
    <row r="2394" spans="1:12" ht="15.75" hidden="1" thickBot="1" x14ac:dyDescent="0.3">
      <c r="A2394" s="182"/>
      <c r="B2394" s="183"/>
      <c r="C2394" s="25"/>
      <c r="D2394" s="25"/>
      <c r="E2394" s="26"/>
      <c r="F2394" s="27"/>
      <c r="G2394" s="19" t="s">
        <v>1079</v>
      </c>
      <c r="H2394" s="27"/>
      <c r="I2394" s="23" t="str">
        <f>IF(ISNUMBER(G2394),E2394*G2394,"")</f>
        <v/>
      </c>
      <c r="J2394" s="24"/>
      <c r="K2394" s="19"/>
      <c r="L2394" s="174">
        <v>0</v>
      </c>
    </row>
    <row r="2395" spans="1:12" ht="15.75" hidden="1" thickBot="1" x14ac:dyDescent="0.3">
      <c r="A2395" s="180" t="s">
        <v>1447</v>
      </c>
      <c r="B2395" s="178" t="str">
        <f>INDEX(Orçamentária!A:B,MATCH(Composições!A2395,Orçamentária!A:A,0),2)</f>
        <v>Cimento Portland CP II E 32</v>
      </c>
      <c r="C2395" s="30"/>
      <c r="D2395" s="13" t="str">
        <f>TRIM(INDEX(Orçamentária!C:C,MATCH(Composições!A2395,Orçamentária!A:A,0),1))</f>
        <v>50 kg</v>
      </c>
      <c r="E2395" s="14"/>
      <c r="F2395" s="15" t="s">
        <v>17</v>
      </c>
      <c r="G2395" s="31" t="s">
        <v>1079</v>
      </c>
      <c r="H2395" s="16"/>
      <c r="I2395" s="16" t="str">
        <f>IF(ISNUMBER(G2395),E2395*G2395,"")</f>
        <v/>
      </c>
      <c r="J2395" s="17"/>
      <c r="K2395" s="18"/>
      <c r="L2395" s="174">
        <v>0</v>
      </c>
    </row>
    <row r="2396" spans="1:12" ht="15.75" hidden="1" thickBot="1" x14ac:dyDescent="0.3">
      <c r="A2396" s="181"/>
      <c r="B2396" s="179"/>
      <c r="C2396" s="20"/>
      <c r="D2396" s="20"/>
      <c r="E2396" s="21"/>
      <c r="F2396" s="22"/>
      <c r="G2396" s="32" t="s">
        <v>1079</v>
      </c>
      <c r="H2396" s="20"/>
      <c r="I2396" s="23" t="str">
        <f>IF(ISNUMBER(G2396),E2396*G2396,"")</f>
        <v/>
      </c>
      <c r="J2396" s="24"/>
      <c r="K2396" s="19"/>
      <c r="L2396" s="174">
        <v>0</v>
      </c>
    </row>
    <row r="2397" spans="1:12" ht="15.75" hidden="1" thickBot="1" x14ac:dyDescent="0.3">
      <c r="A2397" s="181"/>
      <c r="B2397" s="179"/>
      <c r="C2397" s="25" t="s">
        <v>1448</v>
      </c>
      <c r="D2397" s="36" t="s">
        <v>75</v>
      </c>
      <c r="E2397" s="26">
        <v>50</v>
      </c>
      <c r="F2397" s="27" t="s">
        <v>17</v>
      </c>
      <c r="G2397" s="19">
        <v>0.38</v>
      </c>
      <c r="H2397" s="27" t="s">
        <v>242</v>
      </c>
      <c r="I2397" s="23">
        <f>IF(ISNUMBER(G2397),E2397*G2397,"")</f>
        <v>19</v>
      </c>
      <c r="J2397" s="28">
        <f>SUM(I2397:I2397)</f>
        <v>19</v>
      </c>
      <c r="K2397" s="29"/>
      <c r="L2397" s="174">
        <v>0</v>
      </c>
    </row>
    <row r="2398" spans="1:12" ht="15.75" hidden="1" thickBot="1" x14ac:dyDescent="0.3">
      <c r="A2398" s="182"/>
      <c r="B2398" s="183"/>
      <c r="C2398" s="25"/>
      <c r="D2398" s="25"/>
      <c r="E2398" s="26"/>
      <c r="F2398" s="27"/>
      <c r="G2398" s="19" t="s">
        <v>1079</v>
      </c>
      <c r="H2398" s="27"/>
      <c r="I2398" s="23" t="str">
        <f>IF(ISNUMBER(G2398),E2398*G2398,"")</f>
        <v/>
      </c>
      <c r="J2398" s="24"/>
      <c r="K2398" s="19"/>
      <c r="L2398" s="174">
        <v>0</v>
      </c>
    </row>
    <row r="2399" spans="1:12" ht="15.75" hidden="1" thickBot="1" x14ac:dyDescent="0.3">
      <c r="A2399" s="180" t="s">
        <v>1449</v>
      </c>
      <c r="B2399" s="178" t="str">
        <f>INDEX(Orçamentária!A:B,MATCH(Composições!A2399,Orçamentária!A:A,0),2)</f>
        <v>Argamassa Colante tipo AC III</v>
      </c>
      <c r="C2399" s="30"/>
      <c r="D2399" s="13" t="str">
        <f>TRIM(INDEX(Orçamentária!C:C,MATCH(Composições!A2399,Orçamentária!A:A,0),1))</f>
        <v>20 kg</v>
      </c>
      <c r="E2399" s="14"/>
      <c r="F2399" s="15" t="s">
        <v>17</v>
      </c>
      <c r="G2399" s="31" t="s">
        <v>1079</v>
      </c>
      <c r="H2399" s="16"/>
      <c r="I2399" s="16" t="str">
        <f>IF(ISNUMBER(G2399),E2399*G2399,"")</f>
        <v/>
      </c>
      <c r="J2399" s="17"/>
      <c r="K2399" s="18"/>
      <c r="L2399" s="174">
        <v>0</v>
      </c>
    </row>
    <row r="2400" spans="1:12" ht="15.75" hidden="1" thickBot="1" x14ac:dyDescent="0.3">
      <c r="A2400" s="181"/>
      <c r="B2400" s="179"/>
      <c r="C2400" s="20"/>
      <c r="D2400" s="20"/>
      <c r="E2400" s="21"/>
      <c r="F2400" s="22"/>
      <c r="G2400" s="32" t="s">
        <v>1079</v>
      </c>
      <c r="H2400" s="20"/>
      <c r="I2400" s="23" t="str">
        <f>IF(ISNUMBER(G2400),E2400*G2400,"")</f>
        <v/>
      </c>
      <c r="J2400" s="24"/>
      <c r="K2400" s="19"/>
      <c r="L2400" s="174">
        <v>0</v>
      </c>
    </row>
    <row r="2401" spans="1:12" ht="15.75" hidden="1" thickBot="1" x14ac:dyDescent="0.3">
      <c r="A2401" s="181"/>
      <c r="B2401" s="179"/>
      <c r="C2401" s="25" t="s">
        <v>1450</v>
      </c>
      <c r="D2401" s="36" t="s">
        <v>75</v>
      </c>
      <c r="E2401" s="26">
        <v>20</v>
      </c>
      <c r="F2401" s="27" t="s">
        <v>17</v>
      </c>
      <c r="G2401" s="19">
        <v>1.159</v>
      </c>
      <c r="H2401" s="27" t="s">
        <v>473</v>
      </c>
      <c r="I2401" s="23">
        <f>IF(ISNUMBER(G2401),E2401*G2401,"")</f>
        <v>23.18</v>
      </c>
      <c r="J2401" s="28">
        <f>SUM(I2401:I2401)</f>
        <v>23.18</v>
      </c>
      <c r="K2401" s="29"/>
      <c r="L2401" s="174">
        <v>0</v>
      </c>
    </row>
    <row r="2402" spans="1:12" ht="15.75" hidden="1" thickBot="1" x14ac:dyDescent="0.3">
      <c r="A2402" s="182"/>
      <c r="B2402" s="183"/>
      <c r="C2402" s="25"/>
      <c r="D2402" s="25"/>
      <c r="E2402" s="26"/>
      <c r="F2402" s="27"/>
      <c r="G2402" s="19" t="s">
        <v>1079</v>
      </c>
      <c r="H2402" s="27"/>
      <c r="I2402" s="23" t="str">
        <f>IF(ISNUMBER(G2402),E2402*G2402,"")</f>
        <v/>
      </c>
      <c r="J2402" s="24"/>
      <c r="K2402" s="19"/>
      <c r="L2402" s="174">
        <v>0</v>
      </c>
    </row>
    <row r="2403" spans="1:12" ht="15.75" hidden="1" thickBot="1" x14ac:dyDescent="0.3">
      <c r="A2403" s="180" t="s">
        <v>1451</v>
      </c>
      <c r="B2403" s="178" t="str">
        <f>INDEX(Orçamentária!A:B,MATCH(Composições!A2403,Orçamentária!A:A,0),2)</f>
        <v>Gesso Para Uso Geral</v>
      </c>
      <c r="C2403" s="30"/>
      <c r="D2403" s="13" t="str">
        <f>TRIM(INDEX(Orçamentária!C:C,MATCH(Composições!A2403,Orçamentária!A:A,0),1))</f>
        <v>40 kg</v>
      </c>
      <c r="E2403" s="14"/>
      <c r="F2403" s="15" t="s">
        <v>17</v>
      </c>
      <c r="G2403" s="31" t="s">
        <v>1079</v>
      </c>
      <c r="H2403" s="16"/>
      <c r="I2403" s="16" t="str">
        <f>IF(ISNUMBER(G2403),E2403*G2403,"")</f>
        <v/>
      </c>
      <c r="J2403" s="17"/>
      <c r="K2403" s="18"/>
      <c r="L2403" s="174">
        <v>0</v>
      </c>
    </row>
    <row r="2404" spans="1:12" ht="15.75" hidden="1" thickBot="1" x14ac:dyDescent="0.3">
      <c r="A2404" s="181"/>
      <c r="B2404" s="179"/>
      <c r="C2404" s="20"/>
      <c r="D2404" s="20"/>
      <c r="E2404" s="21"/>
      <c r="F2404" s="22"/>
      <c r="G2404" s="32" t="s">
        <v>1079</v>
      </c>
      <c r="H2404" s="20"/>
      <c r="I2404" s="23" t="str">
        <f>IF(ISNUMBER(G2404),E2404*G2404,"")</f>
        <v/>
      </c>
      <c r="J2404" s="24"/>
      <c r="K2404" s="19"/>
      <c r="L2404" s="174">
        <v>0</v>
      </c>
    </row>
    <row r="2405" spans="1:12" ht="15.75" hidden="1" thickBot="1" x14ac:dyDescent="0.3">
      <c r="A2405" s="181"/>
      <c r="B2405" s="179"/>
      <c r="C2405" s="25" t="s">
        <v>1452</v>
      </c>
      <c r="D2405" s="36" t="s">
        <v>75</v>
      </c>
      <c r="E2405" s="26">
        <v>40</v>
      </c>
      <c r="F2405" s="27" t="s">
        <v>17</v>
      </c>
      <c r="G2405" s="19">
        <v>0.57950000000000002</v>
      </c>
      <c r="H2405" s="27" t="s">
        <v>1453</v>
      </c>
      <c r="I2405" s="23">
        <f>IF(ISNUMBER(G2405),E2405*G2405,"")</f>
        <v>23.18</v>
      </c>
      <c r="J2405" s="28">
        <f>SUM(I2405:I2405)</f>
        <v>23.18</v>
      </c>
      <c r="K2405" s="29"/>
      <c r="L2405" s="174">
        <v>0</v>
      </c>
    </row>
    <row r="2406" spans="1:12" ht="15.75" hidden="1" thickBot="1" x14ac:dyDescent="0.3">
      <c r="A2406" s="182"/>
      <c r="B2406" s="183"/>
      <c r="C2406" s="25"/>
      <c r="D2406" s="25"/>
      <c r="E2406" s="26"/>
      <c r="F2406" s="27"/>
      <c r="G2406" s="19" t="s">
        <v>1079</v>
      </c>
      <c r="H2406" s="27"/>
      <c r="I2406" s="23" t="str">
        <f>IF(ISNUMBER(G2406),E2406*G2406,"")</f>
        <v/>
      </c>
      <c r="J2406" s="24"/>
      <c r="K2406" s="19"/>
      <c r="L2406" s="174">
        <v>0</v>
      </c>
    </row>
    <row r="2407" spans="1:12" ht="15.75" hidden="1" thickBot="1" x14ac:dyDescent="0.3">
      <c r="A2407" s="180" t="s">
        <v>1454</v>
      </c>
      <c r="B2407" s="178" t="str">
        <f>INDEX(Orçamentária!A:B,MATCH(Composições!A2407,Orçamentária!A:A,0),2)</f>
        <v>Areia Média</v>
      </c>
      <c r="C2407" s="30"/>
      <c r="D2407" s="13" t="str">
        <f>TRIM(INDEX(Orçamentária!C:C,MATCH(Composições!A2407,Orçamentária!A:A,0),1))</f>
        <v>m3</v>
      </c>
      <c r="E2407" s="14"/>
      <c r="F2407" s="15" t="s">
        <v>17</v>
      </c>
      <c r="G2407" s="31" t="s">
        <v>1079</v>
      </c>
      <c r="H2407" s="16"/>
      <c r="I2407" s="16" t="str">
        <f>IF(ISNUMBER(G2407),E2407*G2407,"")</f>
        <v/>
      </c>
      <c r="J2407" s="17"/>
      <c r="K2407" s="18"/>
      <c r="L2407" s="174">
        <v>0</v>
      </c>
    </row>
    <row r="2408" spans="1:12" ht="15.75" hidden="1" thickBot="1" x14ac:dyDescent="0.3">
      <c r="A2408" s="181"/>
      <c r="B2408" s="179"/>
      <c r="C2408" s="20"/>
      <c r="D2408" s="20"/>
      <c r="E2408" s="21"/>
      <c r="F2408" s="22"/>
      <c r="G2408" s="32" t="s">
        <v>1079</v>
      </c>
      <c r="H2408" s="20"/>
      <c r="I2408" s="23" t="str">
        <f>IF(ISNUMBER(G2408),E2408*G2408,"")</f>
        <v/>
      </c>
      <c r="J2408" s="24"/>
      <c r="K2408" s="19"/>
      <c r="L2408" s="174">
        <v>0</v>
      </c>
    </row>
    <row r="2409" spans="1:12" ht="26.25" hidden="1" thickBot="1" x14ac:dyDescent="0.3">
      <c r="A2409" s="181"/>
      <c r="B2409" s="179"/>
      <c r="C2409" s="25" t="s">
        <v>1455</v>
      </c>
      <c r="D2409" s="36" t="s">
        <v>228</v>
      </c>
      <c r="E2409" s="26">
        <v>1</v>
      </c>
      <c r="F2409" s="27" t="s">
        <v>17</v>
      </c>
      <c r="G2409" s="19">
        <v>93.8125</v>
      </c>
      <c r="H2409" s="27" t="s">
        <v>240</v>
      </c>
      <c r="I2409" s="23">
        <f>IF(ISNUMBER(G2409),E2409*G2409,"")</f>
        <v>93.8125</v>
      </c>
      <c r="J2409" s="28">
        <f>SUM(I2409:I2411)</f>
        <v>108.446281</v>
      </c>
      <c r="K2409" s="29"/>
      <c r="L2409" s="174">
        <v>0</v>
      </c>
    </row>
    <row r="2410" spans="1:12" ht="39" hidden="1" thickBot="1" x14ac:dyDescent="0.3">
      <c r="A2410" s="181"/>
      <c r="B2410" s="179"/>
      <c r="C2410" s="25" t="s">
        <v>251</v>
      </c>
      <c r="D2410" s="25" t="s">
        <v>228</v>
      </c>
      <c r="E2410" s="26">
        <f>E2409</f>
        <v>1</v>
      </c>
      <c r="F2410" s="27" t="s">
        <v>17</v>
      </c>
      <c r="G2410" s="23">
        <v>0.72471700000000006</v>
      </c>
      <c r="H2410" s="27" t="s">
        <v>253</v>
      </c>
      <c r="I2410" s="23">
        <f>IF(ISNUMBER(G2410),E2410*G2410,"")</f>
        <v>0.72471700000000006</v>
      </c>
      <c r="J2410" s="24"/>
      <c r="K2410" s="19"/>
      <c r="L2410" s="174">
        <v>0</v>
      </c>
    </row>
    <row r="2411" spans="1:12" ht="39" hidden="1" thickBot="1" x14ac:dyDescent="0.3">
      <c r="A2411" s="181"/>
      <c r="B2411" s="179"/>
      <c r="C2411" s="25" t="s">
        <v>1456</v>
      </c>
      <c r="D2411" s="36" t="s">
        <v>1457</v>
      </c>
      <c r="E2411" s="26">
        <f>E2409*20</f>
        <v>20</v>
      </c>
      <c r="F2411" s="27" t="s">
        <v>17</v>
      </c>
      <c r="G2411" s="19">
        <v>0.69545319999999999</v>
      </c>
      <c r="H2411" s="27" t="s">
        <v>1458</v>
      </c>
      <c r="I2411" s="23">
        <f>IF(ISNUMBER(G2411),E2411*G2411,"")</f>
        <v>13.909064000000001</v>
      </c>
      <c r="J2411" s="24"/>
      <c r="K2411" s="19"/>
      <c r="L2411" s="174">
        <v>0</v>
      </c>
    </row>
    <row r="2412" spans="1:12" ht="15.75" hidden="1" thickBot="1" x14ac:dyDescent="0.3">
      <c r="A2412" s="181"/>
      <c r="B2412" s="179"/>
      <c r="C2412" s="25"/>
      <c r="D2412" s="36"/>
      <c r="E2412" s="26"/>
      <c r="F2412" s="27"/>
      <c r="G2412" s="19" t="s">
        <v>1079</v>
      </c>
      <c r="H2412" s="27"/>
      <c r="I2412" s="23" t="str">
        <f>IF(ISNUMBER(G2412),E2412*G2412,"")</f>
        <v/>
      </c>
      <c r="J2412" s="24"/>
      <c r="K2412" s="19"/>
      <c r="L2412" s="174">
        <v>0</v>
      </c>
    </row>
    <row r="2413" spans="1:12" ht="15.75" hidden="1" thickBot="1" x14ac:dyDescent="0.3">
      <c r="A2413" s="181"/>
      <c r="B2413" s="179"/>
      <c r="C2413" s="39" t="s">
        <v>1459</v>
      </c>
      <c r="D2413" s="36"/>
      <c r="E2413" s="26"/>
      <c r="F2413" s="27"/>
      <c r="G2413" s="19" t="s">
        <v>1079</v>
      </c>
      <c r="H2413" s="27"/>
      <c r="I2413" s="23" t="str">
        <f>IF(ISNUMBER(G2413),E2413*G2413,"")</f>
        <v/>
      </c>
      <c r="J2413" s="24"/>
      <c r="K2413" s="19"/>
      <c r="L2413" s="174">
        <v>0</v>
      </c>
    </row>
    <row r="2414" spans="1:12" ht="15.75" hidden="1" thickBot="1" x14ac:dyDescent="0.3">
      <c r="A2414" s="182"/>
      <c r="B2414" s="183"/>
      <c r="C2414" s="25"/>
      <c r="D2414" s="25"/>
      <c r="E2414" s="26"/>
      <c r="F2414" s="27"/>
      <c r="G2414" s="19" t="s">
        <v>1079</v>
      </c>
      <c r="H2414" s="27"/>
      <c r="I2414" s="23" t="str">
        <f>IF(ISNUMBER(G2414),E2414*G2414,"")</f>
        <v/>
      </c>
      <c r="J2414" s="24"/>
      <c r="K2414" s="19"/>
      <c r="L2414" s="174">
        <v>0</v>
      </c>
    </row>
    <row r="2415" spans="1:12" ht="15.75" hidden="1" thickBot="1" x14ac:dyDescent="0.3">
      <c r="A2415" s="180" t="s">
        <v>1460</v>
      </c>
      <c r="B2415" s="178" t="str">
        <f>INDEX(Orçamentária!A:B,MATCH(Composições!A2415,Orçamentária!A:A,0),2)</f>
        <v>Brita Nº 0</v>
      </c>
      <c r="C2415" s="30"/>
      <c r="D2415" s="13" t="str">
        <f>TRIM(INDEX(Orçamentária!C:C,MATCH(Composições!A2415,Orçamentária!A:A,0),1))</f>
        <v>m3</v>
      </c>
      <c r="E2415" s="14"/>
      <c r="F2415" s="15" t="s">
        <v>17</v>
      </c>
      <c r="G2415" s="31" t="s">
        <v>1079</v>
      </c>
      <c r="H2415" s="16"/>
      <c r="I2415" s="16" t="str">
        <f>IF(ISNUMBER(G2415),E2415*G2415,"")</f>
        <v/>
      </c>
      <c r="J2415" s="17"/>
      <c r="K2415" s="18"/>
      <c r="L2415" s="174">
        <v>0</v>
      </c>
    </row>
    <row r="2416" spans="1:12" ht="15.75" hidden="1" thickBot="1" x14ac:dyDescent="0.3">
      <c r="A2416" s="181"/>
      <c r="B2416" s="179"/>
      <c r="C2416" s="20"/>
      <c r="D2416" s="20"/>
      <c r="E2416" s="21"/>
      <c r="F2416" s="22"/>
      <c r="G2416" s="32" t="s">
        <v>1079</v>
      </c>
      <c r="H2416" s="20"/>
      <c r="I2416" s="23" t="str">
        <f>IF(ISNUMBER(G2416),E2416*G2416,"")</f>
        <v/>
      </c>
      <c r="J2416" s="24"/>
      <c r="K2416" s="19"/>
      <c r="L2416" s="174">
        <v>0</v>
      </c>
    </row>
    <row r="2417" spans="1:12" ht="26.25" hidden="1" thickBot="1" x14ac:dyDescent="0.3">
      <c r="A2417" s="181"/>
      <c r="B2417" s="179"/>
      <c r="C2417" s="25" t="s">
        <v>1461</v>
      </c>
      <c r="D2417" s="36" t="s">
        <v>228</v>
      </c>
      <c r="E2417" s="26">
        <v>1</v>
      </c>
      <c r="F2417" s="27" t="s">
        <v>17</v>
      </c>
      <c r="G2417" s="19">
        <v>79.268000000000001</v>
      </c>
      <c r="H2417" s="27" t="s">
        <v>1462</v>
      </c>
      <c r="I2417" s="23">
        <f>IF(ISNUMBER(G2417),E2417*G2417,"")</f>
        <v>79.268000000000001</v>
      </c>
      <c r="J2417" s="28">
        <f>SUM(I2417:I2419)</f>
        <v>93.901781</v>
      </c>
      <c r="K2417" s="29"/>
      <c r="L2417" s="174">
        <v>0</v>
      </c>
    </row>
    <row r="2418" spans="1:12" ht="39" hidden="1" thickBot="1" x14ac:dyDescent="0.3">
      <c r="A2418" s="181"/>
      <c r="B2418" s="179"/>
      <c r="C2418" s="25" t="s">
        <v>251</v>
      </c>
      <c r="D2418" s="25" t="s">
        <v>228</v>
      </c>
      <c r="E2418" s="26">
        <f>E2417</f>
        <v>1</v>
      </c>
      <c r="F2418" s="27" t="s">
        <v>17</v>
      </c>
      <c r="G2418" s="23">
        <v>0.72471700000000006</v>
      </c>
      <c r="H2418" s="27" t="s">
        <v>253</v>
      </c>
      <c r="I2418" s="23">
        <f>IF(ISNUMBER(G2418),E2418*G2418,"")</f>
        <v>0.72471700000000006</v>
      </c>
      <c r="J2418" s="24"/>
      <c r="K2418" s="19"/>
      <c r="L2418" s="174">
        <v>0</v>
      </c>
    </row>
    <row r="2419" spans="1:12" ht="39" hidden="1" thickBot="1" x14ac:dyDescent="0.3">
      <c r="A2419" s="181"/>
      <c r="B2419" s="179"/>
      <c r="C2419" s="25" t="s">
        <v>1456</v>
      </c>
      <c r="D2419" s="36" t="s">
        <v>1457</v>
      </c>
      <c r="E2419" s="26">
        <f>E2417*20</f>
        <v>20</v>
      </c>
      <c r="F2419" s="27" t="s">
        <v>17</v>
      </c>
      <c r="G2419" s="19">
        <v>0.69545319999999999</v>
      </c>
      <c r="H2419" s="27" t="s">
        <v>1458</v>
      </c>
      <c r="I2419" s="23">
        <f>IF(ISNUMBER(G2419),E2419*G2419,"")</f>
        <v>13.909064000000001</v>
      </c>
      <c r="J2419" s="24"/>
      <c r="K2419" s="19"/>
      <c r="L2419" s="174">
        <v>0</v>
      </c>
    </row>
    <row r="2420" spans="1:12" ht="15.75" hidden="1" thickBot="1" x14ac:dyDescent="0.3">
      <c r="A2420" s="181"/>
      <c r="B2420" s="179"/>
      <c r="C2420" s="25"/>
      <c r="D2420" s="36"/>
      <c r="E2420" s="26"/>
      <c r="F2420" s="27"/>
      <c r="G2420" s="19" t="s">
        <v>1079</v>
      </c>
      <c r="H2420" s="27"/>
      <c r="I2420" s="23" t="str">
        <f>IF(ISNUMBER(G2420),E2420*G2420,"")</f>
        <v/>
      </c>
      <c r="J2420" s="24"/>
      <c r="K2420" s="19"/>
      <c r="L2420" s="174">
        <v>0</v>
      </c>
    </row>
    <row r="2421" spans="1:12" ht="15.75" hidden="1" thickBot="1" x14ac:dyDescent="0.3">
      <c r="A2421" s="181"/>
      <c r="B2421" s="179"/>
      <c r="C2421" s="39" t="s">
        <v>1463</v>
      </c>
      <c r="D2421" s="36"/>
      <c r="E2421" s="26"/>
      <c r="F2421" s="27"/>
      <c r="G2421" s="19" t="s">
        <v>1079</v>
      </c>
      <c r="H2421" s="27"/>
      <c r="I2421" s="23" t="str">
        <f>IF(ISNUMBER(G2421),E2421*G2421,"")</f>
        <v/>
      </c>
      <c r="J2421" s="24"/>
      <c r="K2421" s="19"/>
      <c r="L2421" s="174">
        <v>0</v>
      </c>
    </row>
    <row r="2422" spans="1:12" ht="15.75" hidden="1" thickBot="1" x14ac:dyDescent="0.3">
      <c r="A2422" s="182"/>
      <c r="B2422" s="183"/>
      <c r="C2422" s="25"/>
      <c r="D2422" s="25"/>
      <c r="E2422" s="26"/>
      <c r="F2422" s="27"/>
      <c r="G2422" s="19" t="s">
        <v>1079</v>
      </c>
      <c r="H2422" s="27"/>
      <c r="I2422" s="23" t="str">
        <f>IF(ISNUMBER(G2422),E2422*G2422,"")</f>
        <v/>
      </c>
      <c r="J2422" s="24"/>
      <c r="K2422" s="19"/>
      <c r="L2422" s="174">
        <v>0</v>
      </c>
    </row>
    <row r="2423" spans="1:12" ht="15.75" hidden="1" thickBot="1" x14ac:dyDescent="0.3">
      <c r="A2423" s="180" t="s">
        <v>1464</v>
      </c>
      <c r="B2423" s="178" t="str">
        <f>INDEX(Orçamentária!A:B,MATCH(Composições!A2423,Orçamentária!A:A,0),2)</f>
        <v>Brita Nº 1</v>
      </c>
      <c r="C2423" s="30"/>
      <c r="D2423" s="13" t="str">
        <f>TRIM(INDEX(Orçamentária!C:C,MATCH(Composições!A2423,Orçamentária!A:A,0),1))</f>
        <v>m3</v>
      </c>
      <c r="E2423" s="14"/>
      <c r="F2423" s="15" t="s">
        <v>17</v>
      </c>
      <c r="G2423" s="31" t="s">
        <v>1079</v>
      </c>
      <c r="H2423" s="16"/>
      <c r="I2423" s="16" t="str">
        <f>IF(ISNUMBER(G2423),E2423*G2423,"")</f>
        <v/>
      </c>
      <c r="J2423" s="17"/>
      <c r="K2423" s="18"/>
      <c r="L2423" s="174">
        <v>0</v>
      </c>
    </row>
    <row r="2424" spans="1:12" ht="15.75" hidden="1" thickBot="1" x14ac:dyDescent="0.3">
      <c r="A2424" s="181"/>
      <c r="B2424" s="179"/>
      <c r="C2424" s="20"/>
      <c r="D2424" s="20"/>
      <c r="E2424" s="21"/>
      <c r="F2424" s="22"/>
      <c r="G2424" s="32" t="s">
        <v>1079</v>
      </c>
      <c r="H2424" s="20"/>
      <c r="I2424" s="23" t="str">
        <f>IF(ISNUMBER(G2424),E2424*G2424,"")</f>
        <v/>
      </c>
      <c r="J2424" s="24"/>
      <c r="K2424" s="19"/>
      <c r="L2424" s="174">
        <v>0</v>
      </c>
    </row>
    <row r="2425" spans="1:12" ht="26.25" hidden="1" thickBot="1" x14ac:dyDescent="0.3">
      <c r="A2425" s="181"/>
      <c r="B2425" s="179"/>
      <c r="C2425" s="25" t="s">
        <v>1465</v>
      </c>
      <c r="D2425" s="36" t="s">
        <v>228</v>
      </c>
      <c r="E2425" s="26">
        <v>1</v>
      </c>
      <c r="F2425" s="27" t="s">
        <v>17</v>
      </c>
      <c r="G2425" s="19">
        <v>62.082499999999989</v>
      </c>
      <c r="H2425" s="27" t="s">
        <v>244</v>
      </c>
      <c r="I2425" s="23">
        <f>IF(ISNUMBER(G2425),E2425*G2425,"")</f>
        <v>62.082499999999989</v>
      </c>
      <c r="J2425" s="28">
        <f>SUM(I2425:I2427)</f>
        <v>76.716280999999981</v>
      </c>
      <c r="K2425" s="29"/>
      <c r="L2425" s="174">
        <v>0</v>
      </c>
    </row>
    <row r="2426" spans="1:12" ht="39" hidden="1" thickBot="1" x14ac:dyDescent="0.3">
      <c r="A2426" s="181"/>
      <c r="B2426" s="179"/>
      <c r="C2426" s="25" t="s">
        <v>251</v>
      </c>
      <c r="D2426" s="25" t="s">
        <v>228</v>
      </c>
      <c r="E2426" s="26">
        <f>E2425</f>
        <v>1</v>
      </c>
      <c r="F2426" s="27" t="s">
        <v>17</v>
      </c>
      <c r="G2426" s="23">
        <v>0.72471700000000006</v>
      </c>
      <c r="H2426" s="27" t="s">
        <v>253</v>
      </c>
      <c r="I2426" s="23">
        <f>IF(ISNUMBER(G2426),E2426*G2426,"")</f>
        <v>0.72471700000000006</v>
      </c>
      <c r="J2426" s="24"/>
      <c r="K2426" s="19"/>
      <c r="L2426" s="174">
        <v>0</v>
      </c>
    </row>
    <row r="2427" spans="1:12" ht="39" hidden="1" thickBot="1" x14ac:dyDescent="0.3">
      <c r="A2427" s="181"/>
      <c r="B2427" s="179"/>
      <c r="C2427" s="25" t="s">
        <v>1456</v>
      </c>
      <c r="D2427" s="36" t="s">
        <v>1457</v>
      </c>
      <c r="E2427" s="26">
        <f>E2425*20</f>
        <v>20</v>
      </c>
      <c r="F2427" s="27" t="s">
        <v>17</v>
      </c>
      <c r="G2427" s="19">
        <v>0.69545319999999999</v>
      </c>
      <c r="H2427" s="27" t="s">
        <v>1458</v>
      </c>
      <c r="I2427" s="23">
        <f>IF(ISNUMBER(G2427),E2427*G2427,"")</f>
        <v>13.909064000000001</v>
      </c>
      <c r="J2427" s="24"/>
      <c r="K2427" s="19"/>
      <c r="L2427" s="174">
        <v>0</v>
      </c>
    </row>
    <row r="2428" spans="1:12" ht="15.75" hidden="1" thickBot="1" x14ac:dyDescent="0.3">
      <c r="A2428" s="181"/>
      <c r="B2428" s="179"/>
      <c r="C2428" s="25"/>
      <c r="D2428" s="36"/>
      <c r="E2428" s="26"/>
      <c r="F2428" s="27"/>
      <c r="G2428" s="19" t="s">
        <v>1079</v>
      </c>
      <c r="H2428" s="27"/>
      <c r="I2428" s="23" t="str">
        <f>IF(ISNUMBER(G2428),E2428*G2428,"")</f>
        <v/>
      </c>
      <c r="J2428" s="24"/>
      <c r="K2428" s="19"/>
      <c r="L2428" s="174">
        <v>0</v>
      </c>
    </row>
    <row r="2429" spans="1:12" ht="15.75" hidden="1" thickBot="1" x14ac:dyDescent="0.3">
      <c r="A2429" s="181"/>
      <c r="B2429" s="179"/>
      <c r="C2429" s="39" t="s">
        <v>1463</v>
      </c>
      <c r="D2429" s="36"/>
      <c r="E2429" s="26"/>
      <c r="F2429" s="27"/>
      <c r="G2429" s="19" t="s">
        <v>1079</v>
      </c>
      <c r="H2429" s="27"/>
      <c r="I2429" s="23" t="str">
        <f>IF(ISNUMBER(G2429),E2429*G2429,"")</f>
        <v/>
      </c>
      <c r="J2429" s="24"/>
      <c r="K2429" s="19"/>
      <c r="L2429" s="174">
        <v>0</v>
      </c>
    </row>
    <row r="2430" spans="1:12" ht="15.75" hidden="1" thickBot="1" x14ac:dyDescent="0.3">
      <c r="A2430" s="182"/>
      <c r="B2430" s="183"/>
      <c r="C2430" s="25"/>
      <c r="D2430" s="25"/>
      <c r="E2430" s="26"/>
      <c r="F2430" s="27"/>
      <c r="G2430" s="19" t="s">
        <v>1079</v>
      </c>
      <c r="H2430" s="27"/>
      <c r="I2430" s="23" t="str">
        <f>IF(ISNUMBER(G2430),E2430*G2430,"")</f>
        <v/>
      </c>
      <c r="J2430" s="24"/>
      <c r="K2430" s="19"/>
      <c r="L2430" s="174">
        <v>0</v>
      </c>
    </row>
    <row r="2431" spans="1:12" ht="15.75" hidden="1" thickBot="1" x14ac:dyDescent="0.3">
      <c r="A2431" s="180" t="s">
        <v>1466</v>
      </c>
      <c r="B2431" s="178" t="str">
        <f>INDEX(Orçamentária!A:B,MATCH(Composições!A2431,Orçamentária!A:A,0),2)</f>
        <v>Bloco Cerâmico De 08 Furos</v>
      </c>
      <c r="C2431" s="30"/>
      <c r="D2431" s="13" t="str">
        <f>TRIM(INDEX(Orçamentária!C:C,MATCH(Composições!A2431,Orçamentária!A:A,0),1))</f>
        <v>un</v>
      </c>
      <c r="E2431" s="14"/>
      <c r="F2431" s="15" t="s">
        <v>17</v>
      </c>
      <c r="G2431" s="31" t="s">
        <v>1079</v>
      </c>
      <c r="H2431" s="16"/>
      <c r="I2431" s="16" t="str">
        <f>IF(ISNUMBER(G2431),E2431*G2431,"")</f>
        <v/>
      </c>
      <c r="J2431" s="17"/>
      <c r="K2431" s="18"/>
      <c r="L2431" s="174">
        <v>0</v>
      </c>
    </row>
    <row r="2432" spans="1:12" ht="15.75" hidden="1" thickBot="1" x14ac:dyDescent="0.3">
      <c r="A2432" s="181"/>
      <c r="B2432" s="179"/>
      <c r="C2432" s="20"/>
      <c r="D2432" s="20"/>
      <c r="E2432" s="21"/>
      <c r="F2432" s="22"/>
      <c r="G2432" s="32" t="s">
        <v>1079</v>
      </c>
      <c r="H2432" s="20"/>
      <c r="I2432" s="23" t="str">
        <f>IF(ISNUMBER(G2432),E2432*G2432,"")</f>
        <v/>
      </c>
      <c r="J2432" s="24"/>
      <c r="K2432" s="19"/>
      <c r="L2432" s="174">
        <v>0</v>
      </c>
    </row>
    <row r="2433" spans="1:12" ht="15.75" hidden="1" thickBot="1" x14ac:dyDescent="0.3">
      <c r="A2433" s="181"/>
      <c r="B2433" s="179"/>
      <c r="C2433" s="25" t="s">
        <v>1467</v>
      </c>
      <c r="D2433" s="25" t="s">
        <v>318</v>
      </c>
      <c r="E2433" s="26">
        <f>1/1000</f>
        <v>1E-3</v>
      </c>
      <c r="F2433" s="27" t="s">
        <v>17</v>
      </c>
      <c r="G2433" s="19">
        <v>470.25</v>
      </c>
      <c r="H2433" s="27" t="s">
        <v>320</v>
      </c>
      <c r="I2433" s="23">
        <f>IF(ISNUMBER(G2433),E2433*G2433,"")</f>
        <v>0.47025</v>
      </c>
      <c r="J2433" s="28">
        <f>SUM(I2433:I2433)</f>
        <v>0.47025</v>
      </c>
      <c r="K2433" s="29"/>
      <c r="L2433" s="174">
        <v>0</v>
      </c>
    </row>
    <row r="2434" spans="1:12" ht="15.75" hidden="1" thickBot="1" x14ac:dyDescent="0.3">
      <c r="A2434" s="182"/>
      <c r="B2434" s="183"/>
      <c r="C2434" s="25"/>
      <c r="D2434" s="25"/>
      <c r="E2434" s="26"/>
      <c r="F2434" s="27"/>
      <c r="G2434" s="19" t="s">
        <v>1079</v>
      </c>
      <c r="H2434" s="27"/>
      <c r="I2434" s="23" t="str">
        <f>IF(ISNUMBER(G2434),E2434*G2434,"")</f>
        <v/>
      </c>
      <c r="J2434" s="24"/>
      <c r="K2434" s="19"/>
      <c r="L2434" s="174">
        <v>0</v>
      </c>
    </row>
    <row r="2435" spans="1:12" ht="15.75" hidden="1" thickBot="1" x14ac:dyDescent="0.3">
      <c r="A2435" s="180" t="s">
        <v>1468</v>
      </c>
      <c r="B2435" s="178" t="str">
        <f>INDEX(Orçamentária!A:B,MATCH(Composições!A2435,Orçamentária!A:A,0),2)</f>
        <v>Tijolo Maciço</v>
      </c>
      <c r="C2435" s="30"/>
      <c r="D2435" s="13" t="str">
        <f>TRIM(INDEX(Orçamentária!C:C,MATCH(Composições!A2435,Orçamentária!A:A,0),1))</f>
        <v>un</v>
      </c>
      <c r="E2435" s="14"/>
      <c r="F2435" s="15" t="s">
        <v>17</v>
      </c>
      <c r="G2435" s="31" t="s">
        <v>1079</v>
      </c>
      <c r="H2435" s="16"/>
      <c r="I2435" s="16" t="str">
        <f>IF(ISNUMBER(G2435),E2435*G2435,"")</f>
        <v/>
      </c>
      <c r="J2435" s="17"/>
      <c r="K2435" s="18"/>
      <c r="L2435" s="174">
        <v>0</v>
      </c>
    </row>
    <row r="2436" spans="1:12" ht="15.75" hidden="1" thickBot="1" x14ac:dyDescent="0.3">
      <c r="A2436" s="181"/>
      <c r="B2436" s="179"/>
      <c r="C2436" s="20"/>
      <c r="D2436" s="20"/>
      <c r="E2436" s="21"/>
      <c r="F2436" s="22"/>
      <c r="G2436" s="32" t="s">
        <v>1079</v>
      </c>
      <c r="H2436" s="20"/>
      <c r="I2436" s="23" t="str">
        <f>IF(ISNUMBER(G2436),E2436*G2436,"")</f>
        <v/>
      </c>
      <c r="J2436" s="24"/>
      <c r="K2436" s="19"/>
      <c r="L2436" s="174">
        <v>0</v>
      </c>
    </row>
    <row r="2437" spans="1:12" ht="15.75" hidden="1" thickBot="1" x14ac:dyDescent="0.3">
      <c r="A2437" s="181"/>
      <c r="B2437" s="179"/>
      <c r="C2437" s="25" t="s">
        <v>1469</v>
      </c>
      <c r="D2437" s="25" t="s">
        <v>588</v>
      </c>
      <c r="E2437" s="26">
        <v>1</v>
      </c>
      <c r="F2437" s="27" t="s">
        <v>17</v>
      </c>
      <c r="G2437" s="19">
        <v>0.29449999999999998</v>
      </c>
      <c r="H2437" s="27" t="s">
        <v>352</v>
      </c>
      <c r="I2437" s="23">
        <f>IF(ISNUMBER(G2437),E2437*G2437,"")</f>
        <v>0.29449999999999998</v>
      </c>
      <c r="J2437" s="28">
        <f>SUM(I2437:I2437)</f>
        <v>0.29449999999999998</v>
      </c>
      <c r="K2437" s="29"/>
      <c r="L2437" s="174">
        <v>0</v>
      </c>
    </row>
    <row r="2438" spans="1:12" ht="15.75" hidden="1" thickBot="1" x14ac:dyDescent="0.3">
      <c r="A2438" s="182"/>
      <c r="B2438" s="183"/>
      <c r="C2438" s="25"/>
      <c r="D2438" s="25"/>
      <c r="E2438" s="26"/>
      <c r="F2438" s="27"/>
      <c r="G2438" s="19" t="s">
        <v>1079</v>
      </c>
      <c r="H2438" s="27"/>
      <c r="I2438" s="23" t="str">
        <f>IF(ISNUMBER(G2438),E2438*G2438,"")</f>
        <v/>
      </c>
      <c r="J2438" s="24"/>
      <c r="K2438" s="19"/>
      <c r="L2438" s="174">
        <v>0</v>
      </c>
    </row>
    <row r="2439" spans="1:12" ht="15.75" hidden="1" thickBot="1" x14ac:dyDescent="0.3">
      <c r="A2439" s="180" t="s">
        <v>1470</v>
      </c>
      <c r="B2439" s="178" t="str">
        <f>INDEX(Orçamentária!A:B,MATCH(Composições!A2439,Orçamentária!A:A,0),2)</f>
        <v>Bloco De Concreto Com 02 Furos</v>
      </c>
      <c r="C2439" s="30"/>
      <c r="D2439" s="13" t="str">
        <f>TRIM(INDEX(Orçamentária!C:C,MATCH(Composições!A2439,Orçamentária!A:A,0),1))</f>
        <v>un</v>
      </c>
      <c r="E2439" s="14"/>
      <c r="F2439" s="15" t="s">
        <v>17</v>
      </c>
      <c r="G2439" s="31" t="s">
        <v>1079</v>
      </c>
      <c r="H2439" s="16"/>
      <c r="I2439" s="16" t="str">
        <f>IF(ISNUMBER(G2439),E2439*G2439,"")</f>
        <v/>
      </c>
      <c r="J2439" s="17"/>
      <c r="K2439" s="18"/>
      <c r="L2439" s="174">
        <v>0</v>
      </c>
    </row>
    <row r="2440" spans="1:12" ht="15.75" hidden="1" thickBot="1" x14ac:dyDescent="0.3">
      <c r="A2440" s="181"/>
      <c r="B2440" s="179"/>
      <c r="C2440" s="20"/>
      <c r="D2440" s="20"/>
      <c r="E2440" s="21"/>
      <c r="F2440" s="22"/>
      <c r="G2440" s="32" t="s">
        <v>1079</v>
      </c>
      <c r="H2440" s="20"/>
      <c r="I2440" s="23" t="str">
        <f>IF(ISNUMBER(G2440),E2440*G2440,"")</f>
        <v/>
      </c>
      <c r="J2440" s="24"/>
      <c r="K2440" s="19"/>
      <c r="L2440" s="174">
        <v>0</v>
      </c>
    </row>
    <row r="2441" spans="1:12" ht="26.25" hidden="1" thickBot="1" x14ac:dyDescent="0.3">
      <c r="A2441" s="181"/>
      <c r="B2441" s="179"/>
      <c r="C2441" s="25" t="s">
        <v>1471</v>
      </c>
      <c r="D2441" s="25" t="s">
        <v>588</v>
      </c>
      <c r="E2441" s="26">
        <v>1</v>
      </c>
      <c r="F2441" s="27" t="s">
        <v>17</v>
      </c>
      <c r="G2441" s="19">
        <v>1.52</v>
      </c>
      <c r="H2441" s="27" t="s">
        <v>1472</v>
      </c>
      <c r="I2441" s="23">
        <f>IF(ISNUMBER(G2441),E2441*G2441,"")</f>
        <v>1.52</v>
      </c>
      <c r="J2441" s="28">
        <f>SUM(I2441:I2441)</f>
        <v>1.52</v>
      </c>
      <c r="K2441" s="29"/>
      <c r="L2441" s="174">
        <v>0</v>
      </c>
    </row>
    <row r="2442" spans="1:12" ht="15.75" hidden="1" thickBot="1" x14ac:dyDescent="0.3">
      <c r="A2442" s="182"/>
      <c r="B2442" s="183"/>
      <c r="C2442" s="25"/>
      <c r="D2442" s="25"/>
      <c r="E2442" s="26"/>
      <c r="F2442" s="27"/>
      <c r="G2442" s="19" t="s">
        <v>1079</v>
      </c>
      <c r="H2442" s="27"/>
      <c r="I2442" s="23" t="str">
        <f>IF(ISNUMBER(G2442),E2442*G2442,"")</f>
        <v/>
      </c>
      <c r="J2442" s="24"/>
      <c r="K2442" s="19"/>
      <c r="L2442" s="174">
        <v>0</v>
      </c>
    </row>
    <row r="2443" spans="1:12" ht="15.75" hidden="1" thickBot="1" x14ac:dyDescent="0.3">
      <c r="A2443" s="180" t="s">
        <v>1473</v>
      </c>
      <c r="B2443" s="178" t="str">
        <f>INDEX(Orçamentária!A:B,MATCH(Composições!A2443,Orçamentária!A:A,0),2)</f>
        <v>Bloco De Concreto Tipo Canaleta</v>
      </c>
      <c r="C2443" s="30"/>
      <c r="D2443" s="13" t="str">
        <f>TRIM(INDEX(Orçamentária!C:C,MATCH(Composições!A2443,Orçamentária!A:A,0),1))</f>
        <v>un</v>
      </c>
      <c r="E2443" s="14"/>
      <c r="F2443" s="15" t="s">
        <v>17</v>
      </c>
      <c r="G2443" s="31" t="s">
        <v>1079</v>
      </c>
      <c r="H2443" s="16"/>
      <c r="I2443" s="16" t="str">
        <f>IF(ISNUMBER(G2443),E2443*G2443,"")</f>
        <v/>
      </c>
      <c r="J2443" s="17"/>
      <c r="K2443" s="18"/>
      <c r="L2443" s="174">
        <v>0</v>
      </c>
    </row>
    <row r="2444" spans="1:12" ht="15.75" hidden="1" thickBot="1" x14ac:dyDescent="0.3">
      <c r="A2444" s="181"/>
      <c r="B2444" s="179"/>
      <c r="C2444" s="20"/>
      <c r="D2444" s="20"/>
      <c r="E2444" s="21"/>
      <c r="F2444" s="22"/>
      <c r="G2444" s="32" t="s">
        <v>1079</v>
      </c>
      <c r="H2444" s="20"/>
      <c r="I2444" s="23" t="str">
        <f>IF(ISNUMBER(G2444),E2444*G2444,"")</f>
        <v/>
      </c>
      <c r="J2444" s="24"/>
      <c r="K2444" s="19"/>
      <c r="L2444" s="174">
        <v>0</v>
      </c>
    </row>
    <row r="2445" spans="1:12" ht="15.75" hidden="1" thickBot="1" x14ac:dyDescent="0.3">
      <c r="A2445" s="181"/>
      <c r="B2445" s="179"/>
      <c r="C2445" s="25" t="s">
        <v>304</v>
      </c>
      <c r="D2445" s="25" t="s">
        <v>305</v>
      </c>
      <c r="E2445" s="26">
        <v>1</v>
      </c>
      <c r="F2445" s="27" t="s">
        <v>17</v>
      </c>
      <c r="G2445" s="19">
        <v>2.4224999999999999</v>
      </c>
      <c r="H2445" s="27" t="s">
        <v>306</v>
      </c>
      <c r="I2445" s="23">
        <f>IF(ISNUMBER(G2445),E2445*G2445,"")</f>
        <v>2.4224999999999999</v>
      </c>
      <c r="J2445" s="28">
        <f>SUM(I2445:I2445)</f>
        <v>2.4224999999999999</v>
      </c>
      <c r="K2445" s="29"/>
      <c r="L2445" s="174">
        <v>0</v>
      </c>
    </row>
    <row r="2446" spans="1:12" ht="15.75" hidden="1" thickBot="1" x14ac:dyDescent="0.3">
      <c r="A2446" s="182"/>
      <c r="B2446" s="183"/>
      <c r="C2446" s="25"/>
      <c r="D2446" s="25"/>
      <c r="E2446" s="26"/>
      <c r="F2446" s="27"/>
      <c r="G2446" s="19" t="s">
        <v>1079</v>
      </c>
      <c r="H2446" s="27"/>
      <c r="I2446" s="23" t="str">
        <f>IF(ISNUMBER(G2446),E2446*G2446,"")</f>
        <v/>
      </c>
      <c r="J2446" s="24"/>
      <c r="K2446" s="19"/>
      <c r="L2446" s="174">
        <v>0</v>
      </c>
    </row>
    <row r="2447" spans="1:12" ht="15.75" hidden="1" thickBot="1" x14ac:dyDescent="0.3">
      <c r="A2447" s="180" t="s">
        <v>1474</v>
      </c>
      <c r="B2447" s="178" t="str">
        <f>INDEX(Orçamentária!A:B,MATCH(Composições!A2447,Orçamentária!A:A,0),2)</f>
        <v>Vergalhão Ca-60 Diâmetro 5,0 Mm</v>
      </c>
      <c r="C2447" s="30"/>
      <c r="D2447" s="13" t="str">
        <f>TRIM(INDEX(Orçamentária!C:C,MATCH(Composições!A2447,Orçamentária!A:A,0),1))</f>
        <v>m</v>
      </c>
      <c r="E2447" s="14"/>
      <c r="F2447" s="15" t="s">
        <v>17</v>
      </c>
      <c r="G2447" s="31" t="s">
        <v>1079</v>
      </c>
      <c r="H2447" s="16"/>
      <c r="I2447" s="16" t="str">
        <f>IF(ISNUMBER(G2447),E2447*G2447,"")</f>
        <v/>
      </c>
      <c r="J2447" s="17"/>
      <c r="K2447" s="18"/>
      <c r="L2447" s="174">
        <v>0</v>
      </c>
    </row>
    <row r="2448" spans="1:12" ht="15.75" hidden="1" thickBot="1" x14ac:dyDescent="0.3">
      <c r="A2448" s="181"/>
      <c r="B2448" s="179"/>
      <c r="C2448" s="20"/>
      <c r="D2448" s="20"/>
      <c r="E2448" s="21"/>
      <c r="F2448" s="22"/>
      <c r="G2448" s="32" t="s">
        <v>1079</v>
      </c>
      <c r="H2448" s="20"/>
      <c r="I2448" s="23" t="str">
        <f>IF(ISNUMBER(G2448),E2448*G2448,"")</f>
        <v/>
      </c>
      <c r="J2448" s="24"/>
      <c r="K2448" s="19"/>
      <c r="L2448" s="174">
        <v>0</v>
      </c>
    </row>
    <row r="2449" spans="1:12" ht="15.75" hidden="1" thickBot="1" x14ac:dyDescent="0.3">
      <c r="A2449" s="181"/>
      <c r="B2449" s="179"/>
      <c r="C2449" s="25" t="s">
        <v>1469</v>
      </c>
      <c r="D2449" s="25" t="s">
        <v>588</v>
      </c>
      <c r="E2449" s="26">
        <v>1</v>
      </c>
      <c r="F2449" s="27" t="s">
        <v>17</v>
      </c>
      <c r="G2449" s="19">
        <v>0.29449999999999998</v>
      </c>
      <c r="H2449" s="27" t="s">
        <v>352</v>
      </c>
      <c r="I2449" s="23">
        <f>IF(ISNUMBER(G2449),E2449*G2449,"")</f>
        <v>0.29449999999999998</v>
      </c>
      <c r="J2449" s="28">
        <f>SUM(I2449:I2449)</f>
        <v>0.29449999999999998</v>
      </c>
      <c r="K2449" s="29"/>
      <c r="L2449" s="174">
        <v>0</v>
      </c>
    </row>
    <row r="2450" spans="1:12" ht="15.75" hidden="1" thickBot="1" x14ac:dyDescent="0.3">
      <c r="A2450" s="182"/>
      <c r="B2450" s="183"/>
      <c r="C2450" s="25"/>
      <c r="D2450" s="25"/>
      <c r="E2450" s="26"/>
      <c r="F2450" s="27"/>
      <c r="G2450" s="19" t="s">
        <v>1079</v>
      </c>
      <c r="H2450" s="27"/>
      <c r="I2450" s="23" t="str">
        <f>IF(ISNUMBER(G2450),E2450*G2450,"")</f>
        <v/>
      </c>
      <c r="J2450" s="24"/>
      <c r="K2450" s="19"/>
      <c r="L2450" s="174">
        <v>0</v>
      </c>
    </row>
    <row r="2451" spans="1:12" ht="15.75" hidden="1" thickBot="1" x14ac:dyDescent="0.3">
      <c r="A2451" s="180" t="s">
        <v>1475</v>
      </c>
      <c r="B2451" s="178" t="str">
        <f>INDEX(Orçamentária!A:B,MATCH(Composições!A2451,Orçamentária!A:A,0),2)</f>
        <v>Vergalhão Ca-50 Diâmetro 6,3 Mm</v>
      </c>
      <c r="C2451" s="30"/>
      <c r="D2451" s="13" t="str">
        <f>TRIM(INDEX(Orçamentária!C:C,MATCH(Composições!A2451,Orçamentária!A:A,0),1))</f>
        <v>m</v>
      </c>
      <c r="E2451" s="14"/>
      <c r="F2451" s="15" t="s">
        <v>17</v>
      </c>
      <c r="G2451" s="31" t="s">
        <v>1079</v>
      </c>
      <c r="H2451" s="16"/>
      <c r="I2451" s="16" t="str">
        <f>IF(ISNUMBER(G2451),E2451*G2451,"")</f>
        <v/>
      </c>
      <c r="J2451" s="17"/>
      <c r="K2451" s="18"/>
      <c r="L2451" s="174">
        <v>0</v>
      </c>
    </row>
    <row r="2452" spans="1:12" ht="15.75" hidden="1" thickBot="1" x14ac:dyDescent="0.3">
      <c r="A2452" s="181"/>
      <c r="B2452" s="179"/>
      <c r="C2452" s="20"/>
      <c r="D2452" s="20"/>
      <c r="E2452" s="21"/>
      <c r="F2452" s="22"/>
      <c r="G2452" s="32" t="s">
        <v>1079</v>
      </c>
      <c r="H2452" s="20"/>
      <c r="I2452" s="23" t="str">
        <f>IF(ISNUMBER(G2452),E2452*G2452,"")</f>
        <v/>
      </c>
      <c r="J2452" s="24"/>
      <c r="K2452" s="19"/>
      <c r="L2452" s="174">
        <v>0</v>
      </c>
    </row>
    <row r="2453" spans="1:12" ht="15.75" hidden="1" thickBot="1" x14ac:dyDescent="0.3">
      <c r="A2453" s="181"/>
      <c r="B2453" s="179"/>
      <c r="C2453" s="25" t="s">
        <v>1476</v>
      </c>
      <c r="D2453" s="25" t="s">
        <v>75</v>
      </c>
      <c r="E2453" s="26">
        <v>0.245</v>
      </c>
      <c r="F2453" s="27" t="s">
        <v>17</v>
      </c>
      <c r="G2453" s="19">
        <v>5.4814999999999996</v>
      </c>
      <c r="H2453" s="27" t="s">
        <v>1477</v>
      </c>
      <c r="I2453" s="23">
        <f>IF(ISNUMBER(G2453),E2453*G2453,"")</f>
        <v>1.3429674999999999</v>
      </c>
      <c r="J2453" s="28">
        <f>SUM(I2453:I2453)</f>
        <v>1.3429674999999999</v>
      </c>
      <c r="K2453" s="29"/>
      <c r="L2453" s="174">
        <v>0</v>
      </c>
    </row>
    <row r="2454" spans="1:12" ht="15.75" hidden="1" thickBot="1" x14ac:dyDescent="0.3">
      <c r="A2454" s="182"/>
      <c r="B2454" s="183"/>
      <c r="C2454" s="25"/>
      <c r="D2454" s="25"/>
      <c r="E2454" s="26"/>
      <c r="F2454" s="27"/>
      <c r="G2454" s="19" t="s">
        <v>1079</v>
      </c>
      <c r="H2454" s="27"/>
      <c r="I2454" s="23" t="str">
        <f>IF(ISNUMBER(G2454),E2454*G2454,"")</f>
        <v/>
      </c>
      <c r="J2454" s="24"/>
      <c r="K2454" s="19"/>
      <c r="L2454" s="174">
        <v>0</v>
      </c>
    </row>
    <row r="2455" spans="1:12" ht="15.75" hidden="1" thickBot="1" x14ac:dyDescent="0.3">
      <c r="A2455" s="180" t="s">
        <v>1478</v>
      </c>
      <c r="B2455" s="178" t="str">
        <f>INDEX(Orçamentária!A:B,MATCH(Composições!A2455,Orçamentária!A:A,0),2)</f>
        <v>Vergalhão Ca-50 Diâmetro 8,0 Mm</v>
      </c>
      <c r="C2455" s="30"/>
      <c r="D2455" s="13" t="str">
        <f>TRIM(INDEX(Orçamentária!C:C,MATCH(Composições!A2455,Orçamentária!A:A,0),1))</f>
        <v>m</v>
      </c>
      <c r="E2455" s="14"/>
      <c r="F2455" s="15" t="s">
        <v>17</v>
      </c>
      <c r="G2455" s="31" t="s">
        <v>1079</v>
      </c>
      <c r="H2455" s="16"/>
      <c r="I2455" s="16" t="str">
        <f>IF(ISNUMBER(G2455),E2455*G2455,"")</f>
        <v/>
      </c>
      <c r="J2455" s="17"/>
      <c r="K2455" s="18"/>
      <c r="L2455" s="174">
        <v>0</v>
      </c>
    </row>
    <row r="2456" spans="1:12" ht="15.75" hidden="1" thickBot="1" x14ac:dyDescent="0.3">
      <c r="A2456" s="181"/>
      <c r="B2456" s="179"/>
      <c r="C2456" s="20"/>
      <c r="D2456" s="20"/>
      <c r="E2456" s="21"/>
      <c r="F2456" s="22"/>
      <c r="G2456" s="32" t="s">
        <v>1079</v>
      </c>
      <c r="H2456" s="20"/>
      <c r="I2456" s="23" t="str">
        <f>IF(ISNUMBER(G2456),E2456*G2456,"")</f>
        <v/>
      </c>
      <c r="J2456" s="24"/>
      <c r="K2456" s="19"/>
      <c r="L2456" s="174">
        <v>0</v>
      </c>
    </row>
    <row r="2457" spans="1:12" ht="15.75" hidden="1" thickBot="1" x14ac:dyDescent="0.3">
      <c r="A2457" s="181"/>
      <c r="B2457" s="179"/>
      <c r="C2457" s="25" t="s">
        <v>1479</v>
      </c>
      <c r="D2457" s="25" t="s">
        <v>75</v>
      </c>
      <c r="E2457" s="26">
        <v>0.39500000000000002</v>
      </c>
      <c r="F2457" s="27" t="s">
        <v>17</v>
      </c>
      <c r="G2457" s="19">
        <v>5.51</v>
      </c>
      <c r="H2457" s="27" t="s">
        <v>1480</v>
      </c>
      <c r="I2457" s="23">
        <f>IF(ISNUMBER(G2457),E2457*G2457,"")</f>
        <v>2.17645</v>
      </c>
      <c r="J2457" s="28">
        <f>SUM(I2457:I2457)</f>
        <v>2.17645</v>
      </c>
      <c r="K2457" s="29"/>
      <c r="L2457" s="174">
        <v>0</v>
      </c>
    </row>
    <row r="2458" spans="1:12" ht="15.75" hidden="1" thickBot="1" x14ac:dyDescent="0.3">
      <c r="A2458" s="182"/>
      <c r="B2458" s="183"/>
      <c r="C2458" s="25"/>
      <c r="D2458" s="25"/>
      <c r="E2458" s="26"/>
      <c r="F2458" s="27"/>
      <c r="G2458" s="19" t="s">
        <v>1079</v>
      </c>
      <c r="H2458" s="27"/>
      <c r="I2458" s="23" t="str">
        <f>IF(ISNUMBER(G2458),E2458*G2458,"")</f>
        <v/>
      </c>
      <c r="J2458" s="24"/>
      <c r="K2458" s="19"/>
      <c r="L2458" s="174">
        <v>0</v>
      </c>
    </row>
    <row r="2459" spans="1:12" ht="15.75" hidden="1" thickBot="1" x14ac:dyDescent="0.3">
      <c r="A2459" s="180" t="s">
        <v>1481</v>
      </c>
      <c r="B2459" s="178" t="str">
        <f>INDEX(Orçamentária!A:B,MATCH(Composições!A2459,Orçamentária!A:A,0),2)</f>
        <v>Vergalhão Ca-50 Diâmetro 10,0 Mm</v>
      </c>
      <c r="C2459" s="30"/>
      <c r="D2459" s="13" t="str">
        <f>TRIM(INDEX(Orçamentária!C:C,MATCH(Composições!A2459,Orçamentária!A:A,0),1))</f>
        <v>m</v>
      </c>
      <c r="E2459" s="14"/>
      <c r="F2459" s="15" t="s">
        <v>17</v>
      </c>
      <c r="G2459" s="31" t="s">
        <v>1079</v>
      </c>
      <c r="H2459" s="16"/>
      <c r="I2459" s="16" t="str">
        <f>IF(ISNUMBER(G2459),E2459*G2459,"")</f>
        <v/>
      </c>
      <c r="J2459" s="17"/>
      <c r="K2459" s="18"/>
      <c r="L2459" s="174">
        <v>0</v>
      </c>
    </row>
    <row r="2460" spans="1:12" ht="15.75" hidden="1" thickBot="1" x14ac:dyDescent="0.3">
      <c r="A2460" s="181"/>
      <c r="B2460" s="179"/>
      <c r="C2460" s="20"/>
      <c r="D2460" s="20"/>
      <c r="E2460" s="21"/>
      <c r="F2460" s="22"/>
      <c r="G2460" s="32" t="s">
        <v>1079</v>
      </c>
      <c r="H2460" s="20"/>
      <c r="I2460" s="23" t="str">
        <f>IF(ISNUMBER(G2460),E2460*G2460,"")</f>
        <v/>
      </c>
      <c r="J2460" s="24"/>
      <c r="K2460" s="19"/>
      <c r="L2460" s="174">
        <v>0</v>
      </c>
    </row>
    <row r="2461" spans="1:12" ht="15.75" hidden="1" thickBot="1" x14ac:dyDescent="0.3">
      <c r="A2461" s="181"/>
      <c r="B2461" s="179"/>
      <c r="C2461" s="25" t="s">
        <v>1482</v>
      </c>
      <c r="D2461" s="25" t="s">
        <v>75</v>
      </c>
      <c r="E2461" s="26">
        <v>0.61699999999999999</v>
      </c>
      <c r="F2461" s="27" t="s">
        <v>17</v>
      </c>
      <c r="G2461" s="19">
        <v>5.1964999999999995</v>
      </c>
      <c r="H2461" s="27" t="s">
        <v>308</v>
      </c>
      <c r="I2461" s="23">
        <f>IF(ISNUMBER(G2461),E2461*G2461,"")</f>
        <v>3.2062404999999998</v>
      </c>
      <c r="J2461" s="28">
        <f>SUM(I2461:I2461)</f>
        <v>3.2062404999999998</v>
      </c>
      <c r="K2461" s="29"/>
      <c r="L2461" s="174">
        <v>0</v>
      </c>
    </row>
    <row r="2462" spans="1:12" ht="15.75" hidden="1" thickBot="1" x14ac:dyDescent="0.3">
      <c r="A2462" s="182"/>
      <c r="B2462" s="183"/>
      <c r="C2462" s="25"/>
      <c r="D2462" s="25"/>
      <c r="E2462" s="26"/>
      <c r="F2462" s="27"/>
      <c r="G2462" s="19" t="s">
        <v>1079</v>
      </c>
      <c r="H2462" s="27"/>
      <c r="I2462" s="23" t="str">
        <f>IF(ISNUMBER(G2462),E2462*G2462,"")</f>
        <v/>
      </c>
      <c r="J2462" s="24"/>
      <c r="K2462" s="19"/>
      <c r="L2462" s="174">
        <v>0</v>
      </c>
    </row>
    <row r="2463" spans="1:12" ht="15.75" hidden="1" thickBot="1" x14ac:dyDescent="0.3">
      <c r="A2463" s="180" t="s">
        <v>1483</v>
      </c>
      <c r="B2463" s="178" t="str">
        <f>INDEX(Orçamentária!A:B,MATCH(Composições!A2463,Orçamentária!A:A,0),2)</f>
        <v>Vergalhão Ca-50 Diâmetro 12,5 Mm</v>
      </c>
      <c r="C2463" s="30"/>
      <c r="D2463" s="13" t="str">
        <f>TRIM(INDEX(Orçamentária!C:C,MATCH(Composições!A2463,Orçamentária!A:A,0),1))</f>
        <v>m</v>
      </c>
      <c r="E2463" s="14"/>
      <c r="F2463" s="15" t="s">
        <v>17</v>
      </c>
      <c r="G2463" s="31" t="s">
        <v>1079</v>
      </c>
      <c r="H2463" s="16"/>
      <c r="I2463" s="16" t="str">
        <f>IF(ISNUMBER(G2463),E2463*G2463,"")</f>
        <v/>
      </c>
      <c r="J2463" s="17"/>
      <c r="K2463" s="18"/>
      <c r="L2463" s="174">
        <v>0</v>
      </c>
    </row>
    <row r="2464" spans="1:12" ht="15.75" hidden="1" thickBot="1" x14ac:dyDescent="0.3">
      <c r="A2464" s="181"/>
      <c r="B2464" s="179"/>
      <c r="C2464" s="20"/>
      <c r="D2464" s="20"/>
      <c r="E2464" s="21"/>
      <c r="F2464" s="22"/>
      <c r="G2464" s="32" t="s">
        <v>1079</v>
      </c>
      <c r="H2464" s="20"/>
      <c r="I2464" s="23" t="str">
        <f>IF(ISNUMBER(G2464),E2464*G2464,"")</f>
        <v/>
      </c>
      <c r="J2464" s="24"/>
      <c r="K2464" s="19"/>
      <c r="L2464" s="174">
        <v>0</v>
      </c>
    </row>
    <row r="2465" spans="1:12" ht="15.75" hidden="1" thickBot="1" x14ac:dyDescent="0.3">
      <c r="A2465" s="181"/>
      <c r="B2465" s="179"/>
      <c r="C2465" s="25" t="s">
        <v>1484</v>
      </c>
      <c r="D2465" s="25" t="s">
        <v>75</v>
      </c>
      <c r="E2465" s="26">
        <v>0.96299999999999997</v>
      </c>
      <c r="F2465" s="27" t="s">
        <v>17</v>
      </c>
      <c r="G2465" s="19">
        <v>4.5030000000000001</v>
      </c>
      <c r="H2465" s="27" t="s">
        <v>1485</v>
      </c>
      <c r="I2465" s="23">
        <f>IF(ISNUMBER(G2465),E2465*G2465,"")</f>
        <v>4.3363889999999996</v>
      </c>
      <c r="J2465" s="28">
        <f>SUM(I2465:I2465)</f>
        <v>4.3363889999999996</v>
      </c>
      <c r="K2465" s="29"/>
      <c r="L2465" s="174">
        <v>0</v>
      </c>
    </row>
    <row r="2466" spans="1:12" ht="15.75" hidden="1" thickBot="1" x14ac:dyDescent="0.3">
      <c r="A2466" s="182"/>
      <c r="B2466" s="183"/>
      <c r="C2466" s="25"/>
      <c r="D2466" s="25"/>
      <c r="E2466" s="26"/>
      <c r="F2466" s="27"/>
      <c r="G2466" s="19" t="s">
        <v>1079</v>
      </c>
      <c r="H2466" s="27"/>
      <c r="I2466" s="23" t="str">
        <f>IF(ISNUMBER(G2466),E2466*G2466,"")</f>
        <v/>
      </c>
      <c r="J2466" s="24"/>
      <c r="K2466" s="19"/>
      <c r="L2466" s="174">
        <v>0</v>
      </c>
    </row>
    <row r="2467" spans="1:12" ht="15.75" hidden="1" thickBot="1" x14ac:dyDescent="0.3">
      <c r="A2467" s="180" t="s">
        <v>1486</v>
      </c>
      <c r="B2467" s="178" t="str">
        <f>INDEX(Orçamentária!A:B,MATCH(Composições!A2467,Orçamentária!A:A,0),2)</f>
        <v>Arame Recozido Nº 18</v>
      </c>
      <c r="C2467" s="30"/>
      <c r="D2467" s="13" t="str">
        <f>TRIM(INDEX(Orçamentária!C:C,MATCH(Composições!A2467,Orçamentária!A:A,0),1))</f>
        <v>kg</v>
      </c>
      <c r="E2467" s="14"/>
      <c r="F2467" s="15" t="s">
        <v>17</v>
      </c>
      <c r="G2467" s="31" t="s">
        <v>1079</v>
      </c>
      <c r="H2467" s="16"/>
      <c r="I2467" s="16" t="str">
        <f>IF(ISNUMBER(G2467),E2467*G2467,"")</f>
        <v/>
      </c>
      <c r="J2467" s="17"/>
      <c r="K2467" s="18"/>
      <c r="L2467" s="174">
        <v>0</v>
      </c>
    </row>
    <row r="2468" spans="1:12" ht="15.75" hidden="1" thickBot="1" x14ac:dyDescent="0.3">
      <c r="A2468" s="181"/>
      <c r="B2468" s="179"/>
      <c r="C2468" s="20"/>
      <c r="D2468" s="20"/>
      <c r="E2468" s="21"/>
      <c r="F2468" s="22"/>
      <c r="G2468" s="32" t="s">
        <v>1079</v>
      </c>
      <c r="H2468" s="20"/>
      <c r="I2468" s="23" t="str">
        <f>IF(ISNUMBER(G2468),E2468*G2468,"")</f>
        <v/>
      </c>
      <c r="J2468" s="24"/>
      <c r="K2468" s="19"/>
      <c r="L2468" s="174">
        <v>0</v>
      </c>
    </row>
    <row r="2469" spans="1:12" ht="26.25" hidden="1" thickBot="1" x14ac:dyDescent="0.3">
      <c r="A2469" s="181"/>
      <c r="B2469" s="179"/>
      <c r="C2469" s="25" t="s">
        <v>1016</v>
      </c>
      <c r="D2469" s="25" t="s">
        <v>75</v>
      </c>
      <c r="E2469" s="26">
        <v>1</v>
      </c>
      <c r="F2469" s="27" t="s">
        <v>17</v>
      </c>
      <c r="G2469" s="19">
        <v>12.426</v>
      </c>
      <c r="H2469" s="27" t="s">
        <v>1017</v>
      </c>
      <c r="I2469" s="23">
        <f>IF(ISNUMBER(G2469),E2469*G2469,"")</f>
        <v>12.426</v>
      </c>
      <c r="J2469" s="28">
        <f>SUM(I2469:I2469)</f>
        <v>12.426</v>
      </c>
      <c r="K2469" s="29"/>
      <c r="L2469" s="174">
        <v>0</v>
      </c>
    </row>
    <row r="2470" spans="1:12" ht="15.75" hidden="1" thickBot="1" x14ac:dyDescent="0.3">
      <c r="A2470" s="182"/>
      <c r="B2470" s="183"/>
      <c r="C2470" s="25"/>
      <c r="D2470" s="25"/>
      <c r="E2470" s="26"/>
      <c r="F2470" s="27"/>
      <c r="G2470" s="19" t="s">
        <v>1079</v>
      </c>
      <c r="H2470" s="27"/>
      <c r="I2470" s="23" t="str">
        <f>IF(ISNUMBER(G2470),E2470*G2470,"")</f>
        <v/>
      </c>
      <c r="J2470" s="24"/>
      <c r="K2470" s="19"/>
      <c r="L2470" s="174">
        <v>0</v>
      </c>
    </row>
    <row r="2471" spans="1:12" ht="15.75" hidden="1" thickBot="1" x14ac:dyDescent="0.3">
      <c r="A2471" s="180" t="s">
        <v>1487</v>
      </c>
      <c r="B2471" s="178" t="str">
        <f>INDEX(Orçamentária!A:B,MATCH(Composições!A2471,Orçamentária!A:A,0),2)</f>
        <v>Adesivo Estrutural Epóxi Bicomponente</v>
      </c>
      <c r="C2471" s="30"/>
      <c r="D2471" s="13" t="str">
        <f>TRIM(INDEX(Orçamentária!C:C,MATCH(Composições!A2471,Orçamentária!A:A,0),1))</f>
        <v>kg</v>
      </c>
      <c r="E2471" s="14"/>
      <c r="F2471" s="15" t="s">
        <v>17</v>
      </c>
      <c r="G2471" s="31" t="s">
        <v>1079</v>
      </c>
      <c r="H2471" s="16"/>
      <c r="I2471" s="16" t="str">
        <f>IF(ISNUMBER(G2471),E2471*G2471,"")</f>
        <v/>
      </c>
      <c r="J2471" s="17"/>
      <c r="K2471" s="18"/>
      <c r="L2471" s="174">
        <v>0</v>
      </c>
    </row>
    <row r="2472" spans="1:12" ht="15.75" hidden="1" thickBot="1" x14ac:dyDescent="0.3">
      <c r="A2472" s="181"/>
      <c r="B2472" s="179"/>
      <c r="C2472" s="20"/>
      <c r="D2472" s="20"/>
      <c r="E2472" s="21"/>
      <c r="F2472" s="22"/>
      <c r="G2472" s="32" t="s">
        <v>1079</v>
      </c>
      <c r="H2472" s="20"/>
      <c r="I2472" s="23" t="str">
        <f>IF(ISNUMBER(G2472),E2472*G2472,"")</f>
        <v/>
      </c>
      <c r="J2472" s="24"/>
      <c r="K2472" s="19"/>
      <c r="L2472" s="174">
        <v>0</v>
      </c>
    </row>
    <row r="2473" spans="1:12" ht="26.25" hidden="1" thickBot="1" x14ac:dyDescent="0.3">
      <c r="A2473" s="181"/>
      <c r="B2473" s="179"/>
      <c r="C2473" s="25" t="s">
        <v>1488</v>
      </c>
      <c r="D2473" s="25" t="s">
        <v>75</v>
      </c>
      <c r="E2473" s="26">
        <v>1</v>
      </c>
      <c r="F2473" s="27" t="s">
        <v>17</v>
      </c>
      <c r="G2473" s="19">
        <v>28.718499999999999</v>
      </c>
      <c r="H2473" s="27" t="s">
        <v>1489</v>
      </c>
      <c r="I2473" s="23">
        <f>IF(ISNUMBER(G2473),E2473*G2473,"")</f>
        <v>28.718499999999999</v>
      </c>
      <c r="J2473" s="28">
        <f>SUM(I2473:I2473)</f>
        <v>28.718499999999999</v>
      </c>
      <c r="K2473" s="29"/>
      <c r="L2473" s="174">
        <v>0</v>
      </c>
    </row>
    <row r="2474" spans="1:12" ht="15.75" hidden="1" thickBot="1" x14ac:dyDescent="0.3">
      <c r="A2474" s="182"/>
      <c r="B2474" s="183"/>
      <c r="C2474" s="25"/>
      <c r="D2474" s="25"/>
      <c r="E2474" s="26"/>
      <c r="F2474" s="27"/>
      <c r="G2474" s="19" t="s">
        <v>1079</v>
      </c>
      <c r="H2474" s="27"/>
      <c r="I2474" s="23" t="str">
        <f>IF(ISNUMBER(G2474),E2474*G2474,"")</f>
        <v/>
      </c>
      <c r="J2474" s="24"/>
      <c r="K2474" s="19"/>
      <c r="L2474" s="174">
        <v>0</v>
      </c>
    </row>
    <row r="2475" spans="1:12" ht="15.75" hidden="1" thickBot="1" x14ac:dyDescent="0.3">
      <c r="A2475" s="180" t="s">
        <v>1490</v>
      </c>
      <c r="B2475" s="178" t="str">
        <f>INDEX(Orçamentária!A:B,MATCH(Composições!A2475,Orçamentária!A:A,0),2)</f>
        <v>Aditivo Impermeabilizante</v>
      </c>
      <c r="C2475" s="30"/>
      <c r="D2475" s="13" t="str">
        <f>TRIM(INDEX(Orçamentária!C:C,MATCH(Composições!A2475,Orçamentária!A:A,0),1))</f>
        <v>L</v>
      </c>
      <c r="E2475" s="14"/>
      <c r="F2475" s="15" t="s">
        <v>1491</v>
      </c>
      <c r="G2475" s="31" t="s">
        <v>1079</v>
      </c>
      <c r="H2475" s="16"/>
      <c r="I2475" s="16" t="str">
        <f>IF(ISNUMBER(G2475),E2475*G2475,"")</f>
        <v/>
      </c>
      <c r="J2475" s="17"/>
      <c r="K2475" s="18"/>
      <c r="L2475" s="174">
        <v>0</v>
      </c>
    </row>
    <row r="2476" spans="1:12" ht="15.75" hidden="1" thickBot="1" x14ac:dyDescent="0.3">
      <c r="A2476" s="181"/>
      <c r="B2476" s="179"/>
      <c r="C2476" s="20"/>
      <c r="D2476" s="20"/>
      <c r="E2476" s="21"/>
      <c r="F2476" s="22"/>
      <c r="G2476" s="32" t="s">
        <v>1079</v>
      </c>
      <c r="H2476" s="20"/>
      <c r="I2476" s="23" t="str">
        <f>IF(ISNUMBER(G2476),E2476*G2476,"")</f>
        <v/>
      </c>
      <c r="J2476" s="24"/>
      <c r="K2476" s="19"/>
      <c r="L2476" s="174">
        <v>0</v>
      </c>
    </row>
    <row r="2477" spans="1:12" ht="39" hidden="1" thickBot="1" x14ac:dyDescent="0.3">
      <c r="A2477" s="181"/>
      <c r="B2477" s="179"/>
      <c r="C2477" s="25" t="s">
        <v>1492</v>
      </c>
      <c r="D2477" s="36" t="s">
        <v>208</v>
      </c>
      <c r="E2477" s="26">
        <v>1</v>
      </c>
      <c r="F2477" s="27" t="s">
        <v>1491</v>
      </c>
      <c r="G2477" s="19">
        <v>4.5314999999999994</v>
      </c>
      <c r="H2477" s="27" t="s">
        <v>1491</v>
      </c>
      <c r="I2477" s="23">
        <f>IF(ISNUMBER(G2477),E2477*G2477,"")</f>
        <v>4.5314999999999994</v>
      </c>
      <c r="J2477" s="28">
        <f>SUM(I2477:I2477)</f>
        <v>4.5314999999999994</v>
      </c>
      <c r="K2477" s="29"/>
      <c r="L2477" s="174">
        <v>0</v>
      </c>
    </row>
    <row r="2478" spans="1:12" ht="15.75" hidden="1" thickBot="1" x14ac:dyDescent="0.3">
      <c r="A2478" s="182"/>
      <c r="B2478" s="183"/>
      <c r="C2478" s="25"/>
      <c r="D2478" s="25"/>
      <c r="E2478" s="26"/>
      <c r="F2478" s="27"/>
      <c r="G2478" s="19" t="s">
        <v>1079</v>
      </c>
      <c r="H2478" s="27"/>
      <c r="I2478" s="23" t="str">
        <f>IF(ISNUMBER(G2478),E2478*G2478,"")</f>
        <v/>
      </c>
      <c r="J2478" s="24"/>
      <c r="K2478" s="19"/>
      <c r="L2478" s="174">
        <v>0</v>
      </c>
    </row>
    <row r="2479" spans="1:12" ht="15.75" hidden="1" thickBot="1" x14ac:dyDescent="0.3">
      <c r="A2479" s="180" t="s">
        <v>1493</v>
      </c>
      <c r="B2479" s="178" t="str">
        <f>INDEX(Orçamentária!A:B,MATCH(Composições!A2479,Orçamentária!A:A,0),2)</f>
        <v>Supervisor(a)-Geral</v>
      </c>
      <c r="C2479" s="30"/>
      <c r="D2479" s="13" t="str">
        <f>TRIM(INDEX(Orçamentária!C:C,MATCH(Composições!A2479,Orçamentária!A:A,0),1))</f>
        <v>Profissional</v>
      </c>
      <c r="E2479" s="14"/>
      <c r="F2479" s="15" t="s">
        <v>17</v>
      </c>
      <c r="G2479" s="31" t="s">
        <v>1079</v>
      </c>
      <c r="H2479" s="16"/>
      <c r="I2479" s="16" t="str">
        <f>IF(ISNUMBER(G2479),E2479*G2479,"")</f>
        <v/>
      </c>
      <c r="J2479" s="17"/>
      <c r="K2479" s="18"/>
      <c r="L2479" s="174">
        <v>0</v>
      </c>
    </row>
    <row r="2480" spans="1:12" ht="15.75" hidden="1" thickBot="1" x14ac:dyDescent="0.3">
      <c r="A2480" s="181"/>
      <c r="B2480" s="179"/>
      <c r="C2480" s="20"/>
      <c r="D2480" s="20"/>
      <c r="E2480" s="21"/>
      <c r="F2480" s="22"/>
      <c r="G2480" s="32" t="s">
        <v>1079</v>
      </c>
      <c r="H2480" s="20"/>
      <c r="I2480" s="23" t="str">
        <f>IF(ISNUMBER(G2480),E2480*G2480,"")</f>
        <v/>
      </c>
      <c r="J2480" s="24"/>
      <c r="K2480" s="19"/>
      <c r="L2480" s="174">
        <v>0</v>
      </c>
    </row>
    <row r="2481" spans="1:12" ht="26.25" hidden="1" thickBot="1" x14ac:dyDescent="0.3">
      <c r="A2481" s="181"/>
      <c r="B2481" s="179"/>
      <c r="C2481" s="25" t="s">
        <v>1494</v>
      </c>
      <c r="D2481" s="36" t="s">
        <v>21</v>
      </c>
      <c r="E2481" s="26">
        <f>ROUND(220/(1+112.85%),4)</f>
        <v>103.3592</v>
      </c>
      <c r="F2481" s="27" t="s">
        <v>17</v>
      </c>
      <c r="G2481" s="19">
        <v>81.338999999999999</v>
      </c>
      <c r="H2481" s="27" t="s">
        <v>27</v>
      </c>
      <c r="I2481" s="23">
        <f>IF(ISNUMBER(G2481),E2481*G2481,"")</f>
        <v>8407.1339688000007</v>
      </c>
      <c r="J2481" s="28">
        <f>SUM(I2481:I2481)</f>
        <v>8407.1339688000007</v>
      </c>
      <c r="K2481" s="29"/>
      <c r="L2481" s="174">
        <v>0</v>
      </c>
    </row>
    <row r="2482" spans="1:12" ht="15.75" hidden="1" thickBot="1" x14ac:dyDescent="0.3">
      <c r="A2482" s="181"/>
      <c r="B2482" s="179"/>
      <c r="C2482" s="25"/>
      <c r="D2482" s="36"/>
      <c r="E2482" s="26"/>
      <c r="F2482" s="27"/>
      <c r="G2482" s="19" t="s">
        <v>1079</v>
      </c>
      <c r="H2482" s="27"/>
      <c r="I2482" s="23" t="str">
        <f>IF(ISNUMBER(G2482),E2482*G2482,"")</f>
        <v/>
      </c>
      <c r="J2482" s="28"/>
      <c r="K2482" s="29"/>
      <c r="L2482" s="174">
        <v>0</v>
      </c>
    </row>
    <row r="2483" spans="1:12" ht="26.25" hidden="1" thickBot="1" x14ac:dyDescent="0.3">
      <c r="A2483" s="181"/>
      <c r="B2483" s="179"/>
      <c r="C2483" s="39" t="s">
        <v>1495</v>
      </c>
      <c r="D2483" s="36"/>
      <c r="E2483" s="26"/>
      <c r="F2483" s="27"/>
      <c r="G2483" s="19" t="s">
        <v>1079</v>
      </c>
      <c r="H2483" s="27"/>
      <c r="I2483" s="23" t="str">
        <f>IF(ISNUMBER(G2483),E2483*G2483,"")</f>
        <v/>
      </c>
      <c r="J2483" s="28"/>
      <c r="K2483" s="29"/>
      <c r="L2483" s="174">
        <v>0</v>
      </c>
    </row>
    <row r="2484" spans="1:12" ht="15.75" hidden="1" thickBot="1" x14ac:dyDescent="0.3">
      <c r="A2484" s="182"/>
      <c r="B2484" s="183"/>
      <c r="C2484" s="25"/>
      <c r="D2484" s="25"/>
      <c r="E2484" s="26"/>
      <c r="F2484" s="27"/>
      <c r="G2484" s="19" t="s">
        <v>1079</v>
      </c>
      <c r="H2484" s="27"/>
      <c r="I2484" s="23" t="str">
        <f>IF(ISNUMBER(G2484),E2484*G2484,"")</f>
        <v/>
      </c>
      <c r="J2484" s="24"/>
      <c r="K2484" s="19"/>
      <c r="L2484" s="174">
        <v>0</v>
      </c>
    </row>
    <row r="2485" spans="1:12" ht="15.75" hidden="1" thickBot="1" x14ac:dyDescent="0.3">
      <c r="A2485" s="180" t="s">
        <v>1496</v>
      </c>
      <c r="B2485" s="178" t="str">
        <f>INDEX(Orçamentária!A:B,MATCH(Composições!A2485,Orçamentária!A:A,0),2)</f>
        <v>Apoio Técnico Administrativo – Controle de Almoxarifado</v>
      </c>
      <c r="C2485" s="30"/>
      <c r="D2485" s="13" t="str">
        <f>TRIM(INDEX(Orçamentária!C:C,MATCH(Composições!A2485,Orçamentária!A:A,0),1))</f>
        <v>Profissional</v>
      </c>
      <c r="E2485" s="14"/>
      <c r="F2485" s="15" t="s">
        <v>17</v>
      </c>
      <c r="G2485" s="31" t="s">
        <v>1079</v>
      </c>
      <c r="H2485" s="16"/>
      <c r="I2485" s="16" t="str">
        <f>IF(ISNUMBER(G2485),E2485*G2485,"")</f>
        <v/>
      </c>
      <c r="J2485" s="17"/>
      <c r="K2485" s="18"/>
      <c r="L2485" s="174">
        <v>0</v>
      </c>
    </row>
    <row r="2486" spans="1:12" ht="15.75" hidden="1" thickBot="1" x14ac:dyDescent="0.3">
      <c r="A2486" s="186"/>
      <c r="B2486" s="179"/>
      <c r="C2486" s="20"/>
      <c r="D2486" s="20"/>
      <c r="E2486" s="21"/>
      <c r="F2486" s="22"/>
      <c r="G2486" s="32" t="s">
        <v>1079</v>
      </c>
      <c r="H2486" s="20"/>
      <c r="I2486" s="23" t="str">
        <f>IF(ISNUMBER(G2486),E2486*G2486,"")</f>
        <v/>
      </c>
      <c r="J2486" s="24"/>
      <c r="K2486" s="19"/>
      <c r="L2486" s="174">
        <v>0</v>
      </c>
    </row>
    <row r="2487" spans="1:12" ht="15.75" hidden="1" thickBot="1" x14ac:dyDescent="0.3">
      <c r="A2487" s="186"/>
      <c r="B2487" s="179"/>
      <c r="C2487" s="25" t="s">
        <v>1497</v>
      </c>
      <c r="D2487" s="36" t="s">
        <v>21</v>
      </c>
      <c r="E2487" s="26">
        <f>ROUND(220/(1+112.85%),4)</f>
        <v>103.3592</v>
      </c>
      <c r="F2487" s="27" t="s">
        <v>17</v>
      </c>
      <c r="G2487" s="19">
        <v>21.963999999999999</v>
      </c>
      <c r="H2487" s="27" t="s">
        <v>1498</v>
      </c>
      <c r="I2487" s="23">
        <f>IF(ISNUMBER(G2487),E2487*G2487,"")</f>
        <v>2270.1814687999999</v>
      </c>
      <c r="J2487" s="28">
        <f>SUM(I2487:I2487)</f>
        <v>2270.1814687999999</v>
      </c>
      <c r="K2487" s="29"/>
      <c r="L2487" s="174">
        <v>0</v>
      </c>
    </row>
    <row r="2488" spans="1:12" ht="15.75" hidden="1" thickBot="1" x14ac:dyDescent="0.3">
      <c r="A2488" s="186"/>
      <c r="B2488" s="179"/>
      <c r="C2488" s="25"/>
      <c r="D2488" s="36"/>
      <c r="E2488" s="26"/>
      <c r="F2488" s="27"/>
      <c r="G2488" s="19" t="s">
        <v>1079</v>
      </c>
      <c r="H2488" s="27"/>
      <c r="I2488" s="23" t="str">
        <f>IF(ISNUMBER(G2488),E2488*G2488,"")</f>
        <v/>
      </c>
      <c r="J2488" s="28"/>
      <c r="K2488" s="29"/>
      <c r="L2488" s="174">
        <v>0</v>
      </c>
    </row>
    <row r="2489" spans="1:12" ht="26.25" hidden="1" thickBot="1" x14ac:dyDescent="0.3">
      <c r="A2489" s="186"/>
      <c r="B2489" s="179"/>
      <c r="C2489" s="39" t="s">
        <v>1495</v>
      </c>
      <c r="D2489" s="36"/>
      <c r="E2489" s="26"/>
      <c r="F2489" s="27"/>
      <c r="G2489" s="19" t="s">
        <v>1079</v>
      </c>
      <c r="H2489" s="27"/>
      <c r="I2489" s="23" t="str">
        <f>IF(ISNUMBER(G2489),E2489*G2489,"")</f>
        <v/>
      </c>
      <c r="J2489" s="28"/>
      <c r="K2489" s="29"/>
      <c r="L2489" s="174">
        <v>0</v>
      </c>
    </row>
    <row r="2490" spans="1:12" ht="15.75" hidden="1" thickBot="1" x14ac:dyDescent="0.3">
      <c r="A2490" s="187"/>
      <c r="B2490" s="183"/>
      <c r="C2490" s="25"/>
      <c r="D2490" s="25"/>
      <c r="E2490" s="26"/>
      <c r="F2490" s="27"/>
      <c r="G2490" s="19" t="s">
        <v>1079</v>
      </c>
      <c r="H2490" s="27"/>
      <c r="I2490" s="23" t="str">
        <f>IF(ISNUMBER(G2490),E2490*G2490,"")</f>
        <v/>
      </c>
      <c r="J2490" s="24"/>
      <c r="K2490" s="19"/>
      <c r="L2490" s="174">
        <v>0</v>
      </c>
    </row>
    <row r="2491" spans="1:12" ht="15.75" hidden="1" thickBot="1" x14ac:dyDescent="0.3">
      <c r="A2491" s="180" t="s">
        <v>1499</v>
      </c>
      <c r="B2491" s="178" t="str">
        <f>INDEX(Orçamentária!A:B,MATCH(Composições!A2491,Orçamentária!A:A,0),2)</f>
        <v>Ajudante de Serviços Gerais</v>
      </c>
      <c r="C2491" s="30"/>
      <c r="D2491" s="13" t="str">
        <f>TRIM(INDEX(Orçamentária!C:C,MATCH(Composições!A2491,Orçamentária!A:A,0),1))</f>
        <v>Profissional</v>
      </c>
      <c r="E2491" s="14"/>
      <c r="F2491" s="15" t="s">
        <v>17</v>
      </c>
      <c r="G2491" s="31" t="s">
        <v>1079</v>
      </c>
      <c r="H2491" s="16"/>
      <c r="I2491" s="16" t="str">
        <f>IF(ISNUMBER(G2491),E2491*G2491,"")</f>
        <v/>
      </c>
      <c r="J2491" s="17"/>
      <c r="K2491" s="18"/>
      <c r="L2491" s="174">
        <v>0</v>
      </c>
    </row>
    <row r="2492" spans="1:12" ht="15.75" hidden="1" thickBot="1" x14ac:dyDescent="0.3">
      <c r="A2492" s="181"/>
      <c r="B2492" s="179"/>
      <c r="C2492" s="20"/>
      <c r="D2492" s="20"/>
      <c r="E2492" s="21"/>
      <c r="F2492" s="22"/>
      <c r="G2492" s="32" t="s">
        <v>1079</v>
      </c>
      <c r="H2492" s="20"/>
      <c r="I2492" s="23" t="str">
        <f>IF(ISNUMBER(G2492),E2492*G2492,"")</f>
        <v/>
      </c>
      <c r="J2492" s="24"/>
      <c r="K2492" s="19"/>
      <c r="L2492" s="174">
        <v>0</v>
      </c>
    </row>
    <row r="2493" spans="1:12" ht="15.75" hidden="1" thickBot="1" x14ac:dyDescent="0.3">
      <c r="A2493" s="181"/>
      <c r="B2493" s="179"/>
      <c r="C2493" s="25" t="s">
        <v>1367</v>
      </c>
      <c r="D2493" s="36" t="s">
        <v>21</v>
      </c>
      <c r="E2493" s="26">
        <f>ROUND(220/(1+112.85%),4)</f>
        <v>103.3592</v>
      </c>
      <c r="F2493" s="27" t="s">
        <v>17</v>
      </c>
      <c r="G2493" s="19">
        <v>14.325999999999999</v>
      </c>
      <c r="H2493" s="27" t="s">
        <v>39</v>
      </c>
      <c r="I2493" s="23">
        <f>IF(ISNUMBER(G2493),E2493*G2493,"")</f>
        <v>1480.7238991999998</v>
      </c>
      <c r="J2493" s="28">
        <f>SUM(I2493:I2493)</f>
        <v>1480.7238991999998</v>
      </c>
      <c r="K2493" s="29"/>
      <c r="L2493" s="174">
        <v>0</v>
      </c>
    </row>
    <row r="2494" spans="1:12" ht="15.75" hidden="1" thickBot="1" x14ac:dyDescent="0.3">
      <c r="A2494" s="181"/>
      <c r="B2494" s="179"/>
      <c r="C2494" s="25"/>
      <c r="D2494" s="36"/>
      <c r="E2494" s="26"/>
      <c r="F2494" s="27"/>
      <c r="G2494" s="19" t="s">
        <v>1079</v>
      </c>
      <c r="H2494" s="27"/>
      <c r="I2494" s="23" t="str">
        <f>IF(ISNUMBER(G2494),E2494*G2494,"")</f>
        <v/>
      </c>
      <c r="J2494" s="28"/>
      <c r="K2494" s="29"/>
      <c r="L2494" s="174">
        <v>0</v>
      </c>
    </row>
    <row r="2495" spans="1:12" ht="26.25" hidden="1" thickBot="1" x14ac:dyDescent="0.3">
      <c r="A2495" s="181"/>
      <c r="B2495" s="179"/>
      <c r="C2495" s="39" t="s">
        <v>1495</v>
      </c>
      <c r="D2495" s="36"/>
      <c r="E2495" s="26"/>
      <c r="F2495" s="27"/>
      <c r="G2495" s="19" t="s">
        <v>1079</v>
      </c>
      <c r="H2495" s="27"/>
      <c r="I2495" s="23" t="str">
        <f>IF(ISNUMBER(G2495),E2495*G2495,"")</f>
        <v/>
      </c>
      <c r="J2495" s="28"/>
      <c r="K2495" s="29"/>
      <c r="L2495" s="174">
        <v>0</v>
      </c>
    </row>
    <row r="2496" spans="1:12" ht="15.75" hidden="1" thickBot="1" x14ac:dyDescent="0.3">
      <c r="A2496" s="182"/>
      <c r="B2496" s="183"/>
      <c r="C2496" s="25"/>
      <c r="D2496" s="25"/>
      <c r="E2496" s="26"/>
      <c r="F2496" s="27"/>
      <c r="G2496" s="19" t="s">
        <v>1079</v>
      </c>
      <c r="H2496" s="27"/>
      <c r="I2496" s="23" t="str">
        <f>IF(ISNUMBER(G2496),E2496*G2496,"")</f>
        <v/>
      </c>
      <c r="J2496" s="24"/>
      <c r="K2496" s="19"/>
      <c r="L2496" s="174">
        <v>0</v>
      </c>
    </row>
    <row r="2497" spans="1:12" ht="15.75" hidden="1" thickBot="1" x14ac:dyDescent="0.3">
      <c r="A2497" s="180" t="s">
        <v>1500</v>
      </c>
      <c r="B2497" s="178" t="str">
        <f>INDEX(Orçamentária!A:B,MATCH(Composições!A2497,Orçamentária!A:A,0),2)</f>
        <v>Ajudante de Marceneiro(a)</v>
      </c>
      <c r="C2497" s="30"/>
      <c r="D2497" s="13" t="str">
        <f>TRIM(INDEX(Orçamentária!C:C,MATCH(Composições!A2497,Orçamentária!A:A,0),1))</f>
        <v>Profissional</v>
      </c>
      <c r="E2497" s="14"/>
      <c r="F2497" s="15" t="s">
        <v>17</v>
      </c>
      <c r="G2497" s="31" t="s">
        <v>1079</v>
      </c>
      <c r="H2497" s="16"/>
      <c r="I2497" s="16" t="str">
        <f>IF(ISNUMBER(G2497),E2497*G2497,"")</f>
        <v/>
      </c>
      <c r="J2497" s="17"/>
      <c r="K2497" s="18"/>
      <c r="L2497" s="174">
        <v>0</v>
      </c>
    </row>
    <row r="2498" spans="1:12" ht="15.75" hidden="1" thickBot="1" x14ac:dyDescent="0.3">
      <c r="A2498" s="181"/>
      <c r="B2498" s="179"/>
      <c r="C2498" s="20"/>
      <c r="D2498" s="20"/>
      <c r="E2498" s="21"/>
      <c r="F2498" s="22"/>
      <c r="G2498" s="32" t="s">
        <v>1079</v>
      </c>
      <c r="H2498" s="20"/>
      <c r="I2498" s="23" t="str">
        <f>IF(ISNUMBER(G2498),E2498*G2498,"")</f>
        <v/>
      </c>
      <c r="J2498" s="24"/>
      <c r="K2498" s="19"/>
      <c r="L2498" s="174">
        <v>0</v>
      </c>
    </row>
    <row r="2499" spans="1:12" ht="15.75" hidden="1" thickBot="1" x14ac:dyDescent="0.3">
      <c r="A2499" s="181"/>
      <c r="B2499" s="179"/>
      <c r="C2499" s="25" t="s">
        <v>1501</v>
      </c>
      <c r="D2499" s="36" t="s">
        <v>21</v>
      </c>
      <c r="E2499" s="26">
        <f>ROUND(220/(1+112.85%),4)</f>
        <v>103.3592</v>
      </c>
      <c r="F2499" s="27" t="s">
        <v>17</v>
      </c>
      <c r="G2499" s="19">
        <v>16.159500000000001</v>
      </c>
      <c r="H2499" s="27" t="s">
        <v>268</v>
      </c>
      <c r="I2499" s="23">
        <f>IF(ISNUMBER(G2499),E2499*G2499,"")</f>
        <v>1670.2329924000001</v>
      </c>
      <c r="J2499" s="28">
        <f>SUM(I2499:I2499)</f>
        <v>1670.2329924000001</v>
      </c>
      <c r="K2499" s="29"/>
      <c r="L2499" s="174">
        <v>0</v>
      </c>
    </row>
    <row r="2500" spans="1:12" ht="15.75" hidden="1" thickBot="1" x14ac:dyDescent="0.3">
      <c r="A2500" s="181"/>
      <c r="B2500" s="179"/>
      <c r="C2500" s="25"/>
      <c r="D2500" s="36"/>
      <c r="E2500" s="26"/>
      <c r="F2500" s="27"/>
      <c r="G2500" s="19" t="s">
        <v>1079</v>
      </c>
      <c r="H2500" s="27"/>
      <c r="I2500" s="23" t="str">
        <f>IF(ISNUMBER(G2500),E2500*G2500,"")</f>
        <v/>
      </c>
      <c r="J2500" s="28"/>
      <c r="K2500" s="29"/>
      <c r="L2500" s="174">
        <v>0</v>
      </c>
    </row>
    <row r="2501" spans="1:12" ht="26.25" hidden="1" thickBot="1" x14ac:dyDescent="0.3">
      <c r="A2501" s="181"/>
      <c r="B2501" s="179"/>
      <c r="C2501" s="39" t="s">
        <v>1495</v>
      </c>
      <c r="D2501" s="36"/>
      <c r="E2501" s="26"/>
      <c r="F2501" s="27"/>
      <c r="G2501" s="19" t="s">
        <v>1079</v>
      </c>
      <c r="H2501" s="27"/>
      <c r="I2501" s="23" t="str">
        <f>IF(ISNUMBER(G2501),E2501*G2501,"")</f>
        <v/>
      </c>
      <c r="J2501" s="28"/>
      <c r="K2501" s="29"/>
      <c r="L2501" s="174">
        <v>0</v>
      </c>
    </row>
    <row r="2502" spans="1:12" ht="15.75" hidden="1" thickBot="1" x14ac:dyDescent="0.3">
      <c r="A2502" s="182"/>
      <c r="B2502" s="183"/>
      <c r="C2502" s="25"/>
      <c r="D2502" s="25"/>
      <c r="E2502" s="26"/>
      <c r="F2502" s="27"/>
      <c r="G2502" s="19" t="s">
        <v>1079</v>
      </c>
      <c r="H2502" s="27"/>
      <c r="I2502" s="23" t="str">
        <f>IF(ISNUMBER(G2502),E2502*G2502,"")</f>
        <v/>
      </c>
      <c r="J2502" s="24"/>
      <c r="K2502" s="19"/>
      <c r="L2502" s="174">
        <v>0</v>
      </c>
    </row>
    <row r="2503" spans="1:12" ht="15.75" hidden="1" thickBot="1" x14ac:dyDescent="0.3">
      <c r="A2503" s="180" t="s">
        <v>1502</v>
      </c>
      <c r="B2503" s="178" t="str">
        <f>INDEX(Orçamentária!A:B,MATCH(Composições!A2503,Orçamentária!A:A,0),2)</f>
        <v>Ajudante de Serralheiro(a)</v>
      </c>
      <c r="C2503" s="30"/>
      <c r="D2503" s="13" t="str">
        <f>TRIM(INDEX(Orçamentária!C:C,MATCH(Composições!A2503,Orçamentária!A:A,0),1))</f>
        <v>Profissional</v>
      </c>
      <c r="E2503" s="14"/>
      <c r="F2503" s="15" t="s">
        <v>17</v>
      </c>
      <c r="G2503" s="31" t="s">
        <v>1079</v>
      </c>
      <c r="H2503" s="16"/>
      <c r="I2503" s="16" t="str">
        <f>IF(ISNUMBER(G2503),E2503*G2503,"")</f>
        <v/>
      </c>
      <c r="J2503" s="17"/>
      <c r="K2503" s="18"/>
      <c r="L2503" s="174">
        <v>0</v>
      </c>
    </row>
    <row r="2504" spans="1:12" ht="15.75" hidden="1" thickBot="1" x14ac:dyDescent="0.3">
      <c r="A2504" s="181"/>
      <c r="B2504" s="179"/>
      <c r="C2504" s="20"/>
      <c r="D2504" s="20"/>
      <c r="E2504" s="21"/>
      <c r="F2504" s="22"/>
      <c r="G2504" s="32" t="s">
        <v>1079</v>
      </c>
      <c r="H2504" s="20"/>
      <c r="I2504" s="23" t="str">
        <f>IF(ISNUMBER(G2504),E2504*G2504,"")</f>
        <v/>
      </c>
      <c r="J2504" s="24"/>
      <c r="K2504" s="19"/>
      <c r="L2504" s="174">
        <v>0</v>
      </c>
    </row>
    <row r="2505" spans="1:12" ht="15.75" hidden="1" thickBot="1" x14ac:dyDescent="0.3">
      <c r="A2505" s="181"/>
      <c r="B2505" s="179"/>
      <c r="C2505" s="25" t="s">
        <v>1503</v>
      </c>
      <c r="D2505" s="36" t="s">
        <v>21</v>
      </c>
      <c r="E2505" s="26">
        <f>ROUND(220/(1+112.85%),4)</f>
        <v>103.3592</v>
      </c>
      <c r="F2505" s="27" t="s">
        <v>17</v>
      </c>
      <c r="G2505" s="19">
        <v>15.627499999999998</v>
      </c>
      <c r="H2505" s="27" t="s">
        <v>1226</v>
      </c>
      <c r="I2505" s="23">
        <f>IF(ISNUMBER(G2505),E2505*G2505,"")</f>
        <v>1615.2458979999999</v>
      </c>
      <c r="J2505" s="28">
        <f>SUM(I2505:I2505)</f>
        <v>1615.2458979999999</v>
      </c>
      <c r="K2505" s="29"/>
      <c r="L2505" s="174">
        <v>0</v>
      </c>
    </row>
    <row r="2506" spans="1:12" ht="15.75" hidden="1" thickBot="1" x14ac:dyDescent="0.3">
      <c r="A2506" s="181"/>
      <c r="B2506" s="179"/>
      <c r="C2506" s="25"/>
      <c r="D2506" s="36"/>
      <c r="E2506" s="26"/>
      <c r="F2506" s="27"/>
      <c r="G2506" s="19" t="s">
        <v>1079</v>
      </c>
      <c r="H2506" s="27"/>
      <c r="I2506" s="23" t="str">
        <f>IF(ISNUMBER(G2506),E2506*G2506,"")</f>
        <v/>
      </c>
      <c r="J2506" s="28"/>
      <c r="K2506" s="29"/>
      <c r="L2506" s="174">
        <v>0</v>
      </c>
    </row>
    <row r="2507" spans="1:12" ht="26.25" hidden="1" thickBot="1" x14ac:dyDescent="0.3">
      <c r="A2507" s="181"/>
      <c r="B2507" s="179"/>
      <c r="C2507" s="39" t="s">
        <v>1495</v>
      </c>
      <c r="D2507" s="36"/>
      <c r="E2507" s="26"/>
      <c r="F2507" s="27"/>
      <c r="G2507" s="19" t="s">
        <v>1079</v>
      </c>
      <c r="H2507" s="27"/>
      <c r="I2507" s="23" t="str">
        <f>IF(ISNUMBER(G2507),E2507*G2507,"")</f>
        <v/>
      </c>
      <c r="J2507" s="28"/>
      <c r="K2507" s="29"/>
      <c r="L2507" s="174">
        <v>0</v>
      </c>
    </row>
    <row r="2508" spans="1:12" ht="15.75" hidden="1" thickBot="1" x14ac:dyDescent="0.3">
      <c r="A2508" s="182"/>
      <c r="B2508" s="183"/>
      <c r="C2508" s="25"/>
      <c r="D2508" s="25"/>
      <c r="E2508" s="26"/>
      <c r="F2508" s="27"/>
      <c r="G2508" s="19" t="s">
        <v>1079</v>
      </c>
      <c r="H2508" s="27"/>
      <c r="I2508" s="23" t="str">
        <f>IF(ISNUMBER(G2508),E2508*G2508,"")</f>
        <v/>
      </c>
      <c r="J2508" s="24"/>
      <c r="K2508" s="19"/>
      <c r="L2508" s="174">
        <v>0</v>
      </c>
    </row>
    <row r="2509" spans="1:12" ht="15.75" hidden="1" thickBot="1" x14ac:dyDescent="0.3">
      <c r="A2509" s="180" t="s">
        <v>1504</v>
      </c>
      <c r="B2509" s="178" t="str">
        <f>INDEX(Orçamentária!A:B,MATCH(Composições!A2509,Orçamentária!A:A,0),2)</f>
        <v>Lustrador(a) de Móveis</v>
      </c>
      <c r="C2509" s="30"/>
      <c r="D2509" s="13" t="str">
        <f>TRIM(INDEX(Orçamentária!C:C,MATCH(Composições!A2509,Orçamentária!A:A,0),1))</f>
        <v>Profissional</v>
      </c>
      <c r="E2509" s="14"/>
      <c r="F2509" s="15" t="s">
        <v>17</v>
      </c>
      <c r="G2509" s="31" t="s">
        <v>1079</v>
      </c>
      <c r="H2509" s="16"/>
      <c r="I2509" s="16" t="str">
        <f>IF(ISNUMBER(G2509),E2509*G2509,"")</f>
        <v/>
      </c>
      <c r="J2509" s="17"/>
      <c r="K2509" s="18"/>
      <c r="L2509" s="174">
        <v>0</v>
      </c>
    </row>
    <row r="2510" spans="1:12" ht="15.75" hidden="1" thickBot="1" x14ac:dyDescent="0.3">
      <c r="A2510" s="181"/>
      <c r="B2510" s="179"/>
      <c r="C2510" s="20"/>
      <c r="D2510" s="20"/>
      <c r="E2510" s="21"/>
      <c r="F2510" s="22"/>
      <c r="G2510" s="32" t="s">
        <v>1079</v>
      </c>
      <c r="H2510" s="20"/>
      <c r="I2510" s="23" t="str">
        <f>IF(ISNUMBER(G2510),E2510*G2510,"")</f>
        <v/>
      </c>
      <c r="J2510" s="24"/>
      <c r="K2510" s="19"/>
      <c r="L2510" s="174">
        <v>0</v>
      </c>
    </row>
    <row r="2511" spans="1:12" ht="15.75" hidden="1" thickBot="1" x14ac:dyDescent="0.3">
      <c r="A2511" s="181"/>
      <c r="B2511" s="179"/>
      <c r="C2511" s="25" t="s">
        <v>1208</v>
      </c>
      <c r="D2511" s="36" t="s">
        <v>21</v>
      </c>
      <c r="E2511" s="26">
        <f>ROUND(220/(1+112.85%),4)</f>
        <v>103.3592</v>
      </c>
      <c r="F2511" s="27" t="s">
        <v>17</v>
      </c>
      <c r="G2511" s="19">
        <v>19.341999999999999</v>
      </c>
      <c r="H2511" s="27" t="s">
        <v>1209</v>
      </c>
      <c r="I2511" s="23">
        <f>IF(ISNUMBER(G2511),E2511*G2511,"")</f>
        <v>1999.1736463999998</v>
      </c>
      <c r="J2511" s="28">
        <f>SUM(I2511:I2511)</f>
        <v>1999.1736463999998</v>
      </c>
      <c r="K2511" s="29"/>
      <c r="L2511" s="174">
        <v>0</v>
      </c>
    </row>
    <row r="2512" spans="1:12" ht="15.75" hidden="1" thickBot="1" x14ac:dyDescent="0.3">
      <c r="A2512" s="181"/>
      <c r="B2512" s="179"/>
      <c r="C2512" s="25"/>
      <c r="D2512" s="36"/>
      <c r="E2512" s="26"/>
      <c r="F2512" s="27"/>
      <c r="G2512" s="19" t="s">
        <v>1079</v>
      </c>
      <c r="H2512" s="27"/>
      <c r="I2512" s="23" t="str">
        <f>IF(ISNUMBER(G2512),E2512*G2512,"")</f>
        <v/>
      </c>
      <c r="J2512" s="28"/>
      <c r="K2512" s="29"/>
      <c r="L2512" s="174">
        <v>0</v>
      </c>
    </row>
    <row r="2513" spans="1:12" ht="26.25" hidden="1" thickBot="1" x14ac:dyDescent="0.3">
      <c r="A2513" s="181"/>
      <c r="B2513" s="179"/>
      <c r="C2513" s="39" t="s">
        <v>1495</v>
      </c>
      <c r="D2513" s="36"/>
      <c r="E2513" s="26"/>
      <c r="F2513" s="27"/>
      <c r="G2513" s="19" t="s">
        <v>1079</v>
      </c>
      <c r="H2513" s="27"/>
      <c r="I2513" s="23" t="str">
        <f>IF(ISNUMBER(G2513),E2513*G2513,"")</f>
        <v/>
      </c>
      <c r="J2513" s="28"/>
      <c r="K2513" s="29"/>
      <c r="L2513" s="174">
        <v>0</v>
      </c>
    </row>
    <row r="2514" spans="1:12" ht="15.75" hidden="1" thickBot="1" x14ac:dyDescent="0.3">
      <c r="A2514" s="182"/>
      <c r="B2514" s="183"/>
      <c r="C2514" s="25"/>
      <c r="D2514" s="25"/>
      <c r="E2514" s="26"/>
      <c r="F2514" s="27"/>
      <c r="G2514" s="19" t="s">
        <v>1079</v>
      </c>
      <c r="H2514" s="27"/>
      <c r="I2514" s="23" t="str">
        <f>IF(ISNUMBER(G2514),E2514*G2514,"")</f>
        <v/>
      </c>
      <c r="J2514" s="24"/>
      <c r="K2514" s="19"/>
      <c r="L2514" s="174">
        <v>0</v>
      </c>
    </row>
    <row r="2515" spans="1:12" ht="15.75" hidden="1" thickBot="1" x14ac:dyDescent="0.3">
      <c r="A2515" s="180" t="s">
        <v>1505</v>
      </c>
      <c r="B2515" s="178" t="str">
        <f>INDEX(Orçamentária!A:B,MATCH(Composições!A2515,Orçamentária!A:A,0),2)</f>
        <v>Marceneiro(a)</v>
      </c>
      <c r="C2515" s="30"/>
      <c r="D2515" s="13" t="str">
        <f>TRIM(INDEX(Orçamentária!C:C,MATCH(Composições!A2515,Orçamentária!A:A,0),1))</f>
        <v>Profissional</v>
      </c>
      <c r="E2515" s="14"/>
      <c r="F2515" s="15" t="s">
        <v>17</v>
      </c>
      <c r="G2515" s="31" t="s">
        <v>1079</v>
      </c>
      <c r="H2515" s="16"/>
      <c r="I2515" s="16" t="str">
        <f>IF(ISNUMBER(G2515),E2515*G2515,"")</f>
        <v/>
      </c>
      <c r="J2515" s="17"/>
      <c r="K2515" s="18"/>
      <c r="L2515" s="174">
        <v>0</v>
      </c>
    </row>
    <row r="2516" spans="1:12" ht="15.75" hidden="1" thickBot="1" x14ac:dyDescent="0.3">
      <c r="A2516" s="181"/>
      <c r="B2516" s="179"/>
      <c r="C2516" s="20"/>
      <c r="D2516" s="20"/>
      <c r="E2516" s="21"/>
      <c r="F2516" s="22"/>
      <c r="G2516" s="32" t="s">
        <v>1079</v>
      </c>
      <c r="H2516" s="20"/>
      <c r="I2516" s="23" t="str">
        <f>IF(ISNUMBER(G2516),E2516*G2516,"")</f>
        <v/>
      </c>
      <c r="J2516" s="24"/>
      <c r="K2516" s="19"/>
      <c r="L2516" s="174">
        <v>0</v>
      </c>
    </row>
    <row r="2517" spans="1:12" ht="15.75" hidden="1" thickBot="1" x14ac:dyDescent="0.3">
      <c r="A2517" s="181"/>
      <c r="B2517" s="179"/>
      <c r="C2517" s="25" t="s">
        <v>1208</v>
      </c>
      <c r="D2517" s="36" t="s">
        <v>21</v>
      </c>
      <c r="E2517" s="26">
        <f>ROUND(220/(1+112.85%),4)</f>
        <v>103.3592</v>
      </c>
      <c r="F2517" s="27" t="s">
        <v>17</v>
      </c>
      <c r="G2517" s="19">
        <v>19.341999999999999</v>
      </c>
      <c r="H2517" s="27" t="s">
        <v>1209</v>
      </c>
      <c r="I2517" s="23">
        <f>IF(ISNUMBER(G2517),E2517*G2517,"")</f>
        <v>1999.1736463999998</v>
      </c>
      <c r="J2517" s="28">
        <f>SUM(I2517:I2517)</f>
        <v>1999.1736463999998</v>
      </c>
      <c r="K2517" s="29"/>
      <c r="L2517" s="174">
        <v>0</v>
      </c>
    </row>
    <row r="2518" spans="1:12" ht="15.75" hidden="1" thickBot="1" x14ac:dyDescent="0.3">
      <c r="A2518" s="181"/>
      <c r="B2518" s="179"/>
      <c r="C2518" s="25"/>
      <c r="D2518" s="36"/>
      <c r="E2518" s="26"/>
      <c r="F2518" s="27"/>
      <c r="G2518" s="19" t="s">
        <v>1079</v>
      </c>
      <c r="H2518" s="27"/>
      <c r="I2518" s="23" t="str">
        <f>IF(ISNUMBER(G2518),E2518*G2518,"")</f>
        <v/>
      </c>
      <c r="J2518" s="28"/>
      <c r="K2518" s="29"/>
      <c r="L2518" s="174">
        <v>0</v>
      </c>
    </row>
    <row r="2519" spans="1:12" ht="26.25" hidden="1" thickBot="1" x14ac:dyDescent="0.3">
      <c r="A2519" s="181"/>
      <c r="B2519" s="179"/>
      <c r="C2519" s="39" t="s">
        <v>1495</v>
      </c>
      <c r="D2519" s="36"/>
      <c r="E2519" s="26"/>
      <c r="F2519" s="27"/>
      <c r="G2519" s="19" t="s">
        <v>1079</v>
      </c>
      <c r="H2519" s="27"/>
      <c r="I2519" s="23" t="str">
        <f>IF(ISNUMBER(G2519),E2519*G2519,"")</f>
        <v/>
      </c>
      <c r="J2519" s="28"/>
      <c r="K2519" s="29"/>
      <c r="L2519" s="174">
        <v>0</v>
      </c>
    </row>
    <row r="2520" spans="1:12" ht="15.75" hidden="1" thickBot="1" x14ac:dyDescent="0.3">
      <c r="A2520" s="182"/>
      <c r="B2520" s="183"/>
      <c r="C2520" s="25"/>
      <c r="D2520" s="25"/>
      <c r="E2520" s="26"/>
      <c r="F2520" s="27"/>
      <c r="G2520" s="19" t="s">
        <v>1079</v>
      </c>
      <c r="H2520" s="27"/>
      <c r="I2520" s="23" t="str">
        <f>IF(ISNUMBER(G2520),E2520*G2520,"")</f>
        <v/>
      </c>
      <c r="J2520" s="24"/>
      <c r="K2520" s="19"/>
      <c r="L2520" s="174">
        <v>0</v>
      </c>
    </row>
    <row r="2521" spans="1:12" ht="15.75" hidden="1" thickBot="1" x14ac:dyDescent="0.3">
      <c r="A2521" s="180" t="s">
        <v>1506</v>
      </c>
      <c r="B2521" s="178" t="str">
        <f>INDEX(Orçamentária!A:B,MATCH(Composições!A2521,Orçamentária!A:A,0),2)</f>
        <v>Serralheiro(a)</v>
      </c>
      <c r="C2521" s="30"/>
      <c r="D2521" s="13" t="str">
        <f>TRIM(INDEX(Orçamentária!C:C,MATCH(Composições!A2521,Orçamentária!A:A,0),1))</f>
        <v>Profissional</v>
      </c>
      <c r="E2521" s="14"/>
      <c r="F2521" s="15" t="s">
        <v>17</v>
      </c>
      <c r="G2521" s="31" t="s">
        <v>1079</v>
      </c>
      <c r="H2521" s="16"/>
      <c r="I2521" s="16" t="str">
        <f>IF(ISNUMBER(G2521),E2521*G2521,"")</f>
        <v/>
      </c>
      <c r="J2521" s="17"/>
      <c r="K2521" s="18"/>
      <c r="L2521" s="174">
        <v>0</v>
      </c>
    </row>
    <row r="2522" spans="1:12" ht="15.75" hidden="1" thickBot="1" x14ac:dyDescent="0.3">
      <c r="A2522" s="181"/>
      <c r="B2522" s="179"/>
      <c r="C2522" s="20"/>
      <c r="D2522" s="20"/>
      <c r="E2522" s="21"/>
      <c r="F2522" s="22"/>
      <c r="G2522" s="32" t="s">
        <v>1079</v>
      </c>
      <c r="H2522" s="20"/>
      <c r="I2522" s="23" t="str">
        <f>IF(ISNUMBER(G2522),E2522*G2522,"")</f>
        <v/>
      </c>
      <c r="J2522" s="24"/>
      <c r="K2522" s="19"/>
      <c r="L2522" s="174">
        <v>0</v>
      </c>
    </row>
    <row r="2523" spans="1:12" ht="15.75" hidden="1" thickBot="1" x14ac:dyDescent="0.3">
      <c r="A2523" s="181"/>
      <c r="B2523" s="179"/>
      <c r="C2523" s="25" t="s">
        <v>1222</v>
      </c>
      <c r="D2523" s="36" t="s">
        <v>21</v>
      </c>
      <c r="E2523" s="26">
        <f>ROUND(220/(1+112.85%),4)</f>
        <v>103.3592</v>
      </c>
      <c r="F2523" s="27" t="s">
        <v>17</v>
      </c>
      <c r="G2523" s="19">
        <v>19.056999999999999</v>
      </c>
      <c r="H2523" s="27" t="s">
        <v>1224</v>
      </c>
      <c r="I2523" s="23">
        <f>IF(ISNUMBER(G2523),E2523*G2523,"")</f>
        <v>1969.7162744</v>
      </c>
      <c r="J2523" s="28">
        <f>SUM(I2523:I2523)</f>
        <v>1969.7162744</v>
      </c>
      <c r="K2523" s="29"/>
      <c r="L2523" s="174">
        <v>0</v>
      </c>
    </row>
    <row r="2524" spans="1:12" ht="15.75" hidden="1" thickBot="1" x14ac:dyDescent="0.3">
      <c r="A2524" s="181"/>
      <c r="B2524" s="179"/>
      <c r="C2524" s="25"/>
      <c r="D2524" s="36"/>
      <c r="E2524" s="26"/>
      <c r="F2524" s="27"/>
      <c r="G2524" s="19" t="s">
        <v>1079</v>
      </c>
      <c r="H2524" s="27"/>
      <c r="I2524" s="23" t="str">
        <f>IF(ISNUMBER(G2524),E2524*G2524,"")</f>
        <v/>
      </c>
      <c r="J2524" s="28"/>
      <c r="K2524" s="29"/>
      <c r="L2524" s="174">
        <v>0</v>
      </c>
    </row>
    <row r="2525" spans="1:12" ht="26.25" hidden="1" thickBot="1" x14ac:dyDescent="0.3">
      <c r="A2525" s="181"/>
      <c r="B2525" s="179"/>
      <c r="C2525" s="39" t="s">
        <v>1495</v>
      </c>
      <c r="D2525" s="36"/>
      <c r="E2525" s="26"/>
      <c r="F2525" s="27"/>
      <c r="G2525" s="19" t="s">
        <v>1079</v>
      </c>
      <c r="H2525" s="27"/>
      <c r="I2525" s="23" t="str">
        <f>IF(ISNUMBER(G2525),E2525*G2525,"")</f>
        <v/>
      </c>
      <c r="J2525" s="28"/>
      <c r="K2525" s="29"/>
      <c r="L2525" s="174">
        <v>0</v>
      </c>
    </row>
    <row r="2526" spans="1:12" ht="15.75" hidden="1" thickBot="1" x14ac:dyDescent="0.3">
      <c r="A2526" s="182"/>
      <c r="B2526" s="183"/>
      <c r="C2526" s="25"/>
      <c r="D2526" s="25"/>
      <c r="E2526" s="26"/>
      <c r="F2526" s="27"/>
      <c r="G2526" s="19" t="s">
        <v>1079</v>
      </c>
      <c r="H2526" s="27"/>
      <c r="I2526" s="23" t="str">
        <f>IF(ISNUMBER(G2526),E2526*G2526,"")</f>
        <v/>
      </c>
      <c r="J2526" s="24"/>
      <c r="K2526" s="19"/>
      <c r="L2526" s="174">
        <v>0</v>
      </c>
    </row>
    <row r="2527" spans="1:12" ht="15.75" hidden="1" thickBot="1" x14ac:dyDescent="0.3">
      <c r="A2527" s="180" t="s">
        <v>1507</v>
      </c>
      <c r="B2527" s="178" t="str">
        <f>INDEX(Orçamentária!A:B,MATCH(Composições!A2527,Orçamentária!A:A,0),2)</f>
        <v>Mestre de Obras (Posto de Trabalho)</v>
      </c>
      <c r="C2527" s="30"/>
      <c r="D2527" s="13" t="str">
        <f>TRIM(INDEX(Orçamentária!C:C,MATCH(Composições!A2527,Orçamentária!A:A,0),1))</f>
        <v>Profissional</v>
      </c>
      <c r="E2527" s="14"/>
      <c r="F2527" s="15" t="s">
        <v>17</v>
      </c>
      <c r="G2527" s="31" t="s">
        <v>1079</v>
      </c>
      <c r="H2527" s="16"/>
      <c r="I2527" s="16" t="str">
        <f>IF(ISNUMBER(G2527),E2527*G2527,"")</f>
        <v/>
      </c>
      <c r="J2527" s="17"/>
      <c r="K2527" s="18"/>
      <c r="L2527" s="174">
        <v>0</v>
      </c>
    </row>
    <row r="2528" spans="1:12" ht="15.75" hidden="1" thickBot="1" x14ac:dyDescent="0.3">
      <c r="A2528" s="181"/>
      <c r="B2528" s="179"/>
      <c r="C2528" s="20"/>
      <c r="D2528" s="20"/>
      <c r="E2528" s="21"/>
      <c r="F2528" s="22"/>
      <c r="G2528" s="32" t="s">
        <v>1079</v>
      </c>
      <c r="H2528" s="20"/>
      <c r="I2528" s="23" t="str">
        <f>IF(ISNUMBER(G2528),E2528*G2528,"")</f>
        <v/>
      </c>
      <c r="J2528" s="24"/>
      <c r="K2528" s="19"/>
      <c r="L2528" s="174">
        <v>0</v>
      </c>
    </row>
    <row r="2529" spans="1:12" ht="15.75" hidden="1" thickBot="1" x14ac:dyDescent="0.3">
      <c r="A2529" s="181"/>
      <c r="B2529" s="179"/>
      <c r="C2529" s="25" t="s">
        <v>24</v>
      </c>
      <c r="D2529" s="36" t="s">
        <v>21</v>
      </c>
      <c r="E2529" s="26">
        <f>ROUND(220/(1+112.85%),4)</f>
        <v>103.3592</v>
      </c>
      <c r="F2529" s="27" t="s">
        <v>17</v>
      </c>
      <c r="G2529" s="19">
        <v>22.049499999999998</v>
      </c>
      <c r="H2529" s="27" t="s">
        <v>23</v>
      </c>
      <c r="I2529" s="23">
        <f>IF(ISNUMBER(G2529),E2529*G2529,"")</f>
        <v>2279.0186804</v>
      </c>
      <c r="J2529" s="28">
        <f>SUM(I2529:I2529)</f>
        <v>2279.0186804</v>
      </c>
      <c r="K2529" s="29"/>
      <c r="L2529" s="174">
        <v>0</v>
      </c>
    </row>
    <row r="2530" spans="1:12" ht="15.75" hidden="1" thickBot="1" x14ac:dyDescent="0.3">
      <c r="A2530" s="181"/>
      <c r="B2530" s="179"/>
      <c r="C2530" s="25"/>
      <c r="D2530" s="36"/>
      <c r="E2530" s="26"/>
      <c r="F2530" s="27"/>
      <c r="G2530" s="19" t="s">
        <v>1079</v>
      </c>
      <c r="H2530" s="27"/>
      <c r="I2530" s="23" t="str">
        <f>IF(ISNUMBER(G2530),E2530*G2530,"")</f>
        <v/>
      </c>
      <c r="J2530" s="28"/>
      <c r="K2530" s="29"/>
      <c r="L2530" s="174">
        <v>0</v>
      </c>
    </row>
    <row r="2531" spans="1:12" ht="26.25" hidden="1" thickBot="1" x14ac:dyDescent="0.3">
      <c r="A2531" s="181"/>
      <c r="B2531" s="179"/>
      <c r="C2531" s="39" t="s">
        <v>1495</v>
      </c>
      <c r="D2531" s="36"/>
      <c r="E2531" s="26"/>
      <c r="F2531" s="27"/>
      <c r="G2531" s="19" t="s">
        <v>1079</v>
      </c>
      <c r="H2531" s="27"/>
      <c r="I2531" s="23" t="str">
        <f>IF(ISNUMBER(G2531),E2531*G2531,"")</f>
        <v/>
      </c>
      <c r="J2531" s="28"/>
      <c r="K2531" s="29"/>
      <c r="L2531" s="174">
        <v>0</v>
      </c>
    </row>
    <row r="2532" spans="1:12" ht="15.75" hidden="1" thickBot="1" x14ac:dyDescent="0.3">
      <c r="A2532" s="182"/>
      <c r="B2532" s="183"/>
      <c r="C2532" s="25"/>
      <c r="D2532" s="25"/>
      <c r="E2532" s="26"/>
      <c r="F2532" s="27"/>
      <c r="G2532" s="19" t="s">
        <v>1079</v>
      </c>
      <c r="H2532" s="27"/>
      <c r="I2532" s="23" t="str">
        <f>IF(ISNUMBER(G2532),E2532*G2532,"")</f>
        <v/>
      </c>
      <c r="J2532" s="24"/>
      <c r="K2532" s="19"/>
      <c r="L2532" s="174">
        <v>0</v>
      </c>
    </row>
    <row r="2533" spans="1:12" ht="15.75" hidden="1" thickBot="1" x14ac:dyDescent="0.3">
      <c r="A2533" s="180" t="s">
        <v>1508</v>
      </c>
      <c r="B2533" s="178" t="str">
        <f>INDEX(Orçamentária!A:B,MATCH(Composições!A2533,Orçamentária!A:A,0),2)</f>
        <v>Oficial de Serviços Gerais</v>
      </c>
      <c r="C2533" s="30"/>
      <c r="D2533" s="13" t="str">
        <f>TRIM(INDEX(Orçamentária!C:C,MATCH(Composições!A2533,Orçamentária!A:A,0),1))</f>
        <v>Profissional</v>
      </c>
      <c r="E2533" s="14"/>
      <c r="F2533" s="15" t="s">
        <v>17</v>
      </c>
      <c r="G2533" s="31" t="s">
        <v>1079</v>
      </c>
      <c r="H2533" s="16"/>
      <c r="I2533" s="16" t="str">
        <f>IF(ISNUMBER(G2533),E2533*G2533,"")</f>
        <v/>
      </c>
      <c r="J2533" s="17"/>
      <c r="K2533" s="18"/>
      <c r="L2533" s="174">
        <v>0</v>
      </c>
    </row>
    <row r="2534" spans="1:12" ht="15.75" hidden="1" thickBot="1" x14ac:dyDescent="0.3">
      <c r="A2534" s="181"/>
      <c r="B2534" s="179"/>
      <c r="C2534" s="20"/>
      <c r="D2534" s="20"/>
      <c r="E2534" s="21"/>
      <c r="F2534" s="22"/>
      <c r="G2534" s="32" t="s">
        <v>1079</v>
      </c>
      <c r="H2534" s="20"/>
      <c r="I2534" s="23" t="str">
        <f>IF(ISNUMBER(G2534),E2534*G2534,"")</f>
        <v/>
      </c>
      <c r="J2534" s="24"/>
      <c r="K2534" s="19"/>
      <c r="L2534" s="174">
        <v>0</v>
      </c>
    </row>
    <row r="2535" spans="1:12" ht="15.75" hidden="1" thickBot="1" x14ac:dyDescent="0.3">
      <c r="A2535" s="181"/>
      <c r="B2535" s="179"/>
      <c r="C2535" s="25" t="s">
        <v>1389</v>
      </c>
      <c r="D2535" s="36" t="s">
        <v>21</v>
      </c>
      <c r="E2535" s="26">
        <f>ROUND(220/(1+112.85%),4)</f>
        <v>103.3592</v>
      </c>
      <c r="F2535" s="27" t="s">
        <v>17</v>
      </c>
      <c r="G2535" s="19">
        <v>19.142499999999998</v>
      </c>
      <c r="H2535" s="27" t="s">
        <v>37</v>
      </c>
      <c r="I2535" s="23">
        <f>IF(ISNUMBER(G2535),E2535*G2535,"")</f>
        <v>1978.5534859999998</v>
      </c>
      <c r="J2535" s="28">
        <f>SUM(I2535:I2535)</f>
        <v>1978.5534859999998</v>
      </c>
      <c r="K2535" s="29"/>
      <c r="L2535" s="174">
        <v>0</v>
      </c>
    </row>
    <row r="2536" spans="1:12" ht="15.75" hidden="1" thickBot="1" x14ac:dyDescent="0.3">
      <c r="A2536" s="181"/>
      <c r="B2536" s="179"/>
      <c r="C2536" s="25"/>
      <c r="D2536" s="36"/>
      <c r="E2536" s="26"/>
      <c r="F2536" s="27"/>
      <c r="G2536" s="19" t="s">
        <v>1079</v>
      </c>
      <c r="H2536" s="27"/>
      <c r="I2536" s="23" t="str">
        <f>IF(ISNUMBER(G2536),E2536*G2536,"")</f>
        <v/>
      </c>
      <c r="J2536" s="28"/>
      <c r="K2536" s="29"/>
      <c r="L2536" s="174">
        <v>0</v>
      </c>
    </row>
    <row r="2537" spans="1:12" ht="26.25" hidden="1" thickBot="1" x14ac:dyDescent="0.3">
      <c r="A2537" s="181"/>
      <c r="B2537" s="179"/>
      <c r="C2537" s="39" t="s">
        <v>1495</v>
      </c>
      <c r="D2537" s="36"/>
      <c r="E2537" s="26"/>
      <c r="F2537" s="27"/>
      <c r="G2537" s="19" t="s">
        <v>1079</v>
      </c>
      <c r="H2537" s="27"/>
      <c r="I2537" s="23" t="str">
        <f>IF(ISNUMBER(G2537),E2537*G2537,"")</f>
        <v/>
      </c>
      <c r="J2537" s="28"/>
      <c r="K2537" s="29"/>
      <c r="L2537" s="174">
        <v>0</v>
      </c>
    </row>
    <row r="2538" spans="1:12" ht="15.75" hidden="1" thickBot="1" x14ac:dyDescent="0.3">
      <c r="A2538" s="182"/>
      <c r="B2538" s="183"/>
      <c r="C2538" s="25"/>
      <c r="D2538" s="25"/>
      <c r="E2538" s="26"/>
      <c r="F2538" s="27"/>
      <c r="G2538" s="19" t="s">
        <v>1079</v>
      </c>
      <c r="H2538" s="27"/>
      <c r="I2538" s="23" t="str">
        <f>IF(ISNUMBER(G2538),E2538*G2538,"")</f>
        <v/>
      </c>
      <c r="J2538" s="24"/>
      <c r="K2538" s="19"/>
      <c r="L2538" s="174">
        <v>0</v>
      </c>
    </row>
    <row r="2539" spans="1:12" ht="15.75" hidden="1" thickBot="1" x14ac:dyDescent="0.3">
      <c r="A2539" s="180" t="s">
        <v>1509</v>
      </c>
      <c r="B2539" s="178" t="str">
        <f>INDEX(Orçamentária!A:B,MATCH(Composições!A2539,Orçamentária!A:A,0),2)</f>
        <v>Instalação de vidro (comum, temperado, aramado ou laminado) reaproveitado</v>
      </c>
      <c r="C2539" s="30"/>
      <c r="D2539" s="13" t="str">
        <f>TRIM(INDEX(Orçamentária!C:C,MATCH(Composições!A2539,Orçamentária!A:A,0),1))</f>
        <v>m2</v>
      </c>
      <c r="E2539" s="14"/>
      <c r="F2539" s="15" t="s">
        <v>1510</v>
      </c>
      <c r="G2539" s="31" t="s">
        <v>1079</v>
      </c>
      <c r="H2539" s="16"/>
      <c r="I2539" s="16" t="str">
        <f>IF(ISNUMBER(G2539),E2539*G2539,"")</f>
        <v/>
      </c>
      <c r="J2539" s="17"/>
      <c r="K2539" s="18"/>
      <c r="L2539" s="174">
        <v>0</v>
      </c>
    </row>
    <row r="2540" spans="1:12" ht="15.75" hidden="1" thickBot="1" x14ac:dyDescent="0.3">
      <c r="A2540" s="181"/>
      <c r="B2540" s="179"/>
      <c r="C2540" s="20"/>
      <c r="D2540" s="20"/>
      <c r="E2540" s="21"/>
      <c r="F2540" s="22"/>
      <c r="G2540" s="32" t="s">
        <v>1079</v>
      </c>
      <c r="H2540" s="20"/>
      <c r="I2540" s="23" t="str">
        <f>IF(ISNUMBER(G2540),E2540*G2540,"")</f>
        <v/>
      </c>
      <c r="J2540" s="24"/>
      <c r="K2540" s="19"/>
      <c r="L2540" s="174">
        <v>0</v>
      </c>
    </row>
    <row r="2541" spans="1:12" ht="15.75" hidden="1" thickBot="1" x14ac:dyDescent="0.3">
      <c r="A2541" s="181"/>
      <c r="B2541" s="179"/>
      <c r="C2541" s="25" t="s">
        <v>134</v>
      </c>
      <c r="D2541" s="36" t="s">
        <v>21</v>
      </c>
      <c r="E2541" s="26">
        <v>1</v>
      </c>
      <c r="F2541" s="27" t="s">
        <v>1510</v>
      </c>
      <c r="G2541" s="19">
        <v>17.850499999999997</v>
      </c>
      <c r="H2541" s="27" t="s">
        <v>135</v>
      </c>
      <c r="I2541" s="23">
        <f>IF(ISNUMBER(G2541),E2541*G2541,"")</f>
        <v>17.850499999999997</v>
      </c>
      <c r="J2541" s="28">
        <f>SUM(I2541:I2543)</f>
        <v>33.597699999999996</v>
      </c>
      <c r="K2541" s="29"/>
      <c r="L2541" s="174">
        <v>0</v>
      </c>
    </row>
    <row r="2542" spans="1:12" ht="15.75" hidden="1" thickBot="1" x14ac:dyDescent="0.3">
      <c r="A2542" s="181"/>
      <c r="B2542" s="179"/>
      <c r="C2542" s="25" t="s">
        <v>38</v>
      </c>
      <c r="D2542" s="36" t="s">
        <v>21</v>
      </c>
      <c r="E2542" s="26">
        <v>0.2</v>
      </c>
      <c r="F2542" s="27" t="s">
        <v>1510</v>
      </c>
      <c r="G2542" s="19">
        <v>14.325999999999999</v>
      </c>
      <c r="H2542" s="27" t="s">
        <v>39</v>
      </c>
      <c r="I2542" s="23">
        <f>IF(ISNUMBER(G2542),E2542*G2542,"")</f>
        <v>2.8651999999999997</v>
      </c>
      <c r="J2542" s="24"/>
      <c r="K2542" s="19"/>
      <c r="L2542" s="174">
        <v>0</v>
      </c>
    </row>
    <row r="2543" spans="1:12" ht="15.75" hidden="1" thickBot="1" x14ac:dyDescent="0.3">
      <c r="A2543" s="181"/>
      <c r="B2543" s="179"/>
      <c r="C2543" s="25" t="s">
        <v>608</v>
      </c>
      <c r="D2543" s="25" t="s">
        <v>1511</v>
      </c>
      <c r="E2543" s="26">
        <v>2</v>
      </c>
      <c r="F2543" s="27" t="s">
        <v>1510</v>
      </c>
      <c r="G2543" s="23">
        <v>6.4409999999999998</v>
      </c>
      <c r="H2543" s="27" t="s">
        <v>609</v>
      </c>
      <c r="I2543" s="23">
        <f>IF(ISNUMBER(G2543),E2543*G2543,"")</f>
        <v>12.882</v>
      </c>
      <c r="J2543" s="24"/>
      <c r="K2543" s="19"/>
      <c r="L2543" s="174">
        <v>0</v>
      </c>
    </row>
    <row r="2544" spans="1:12" ht="15.75" hidden="1" thickBot="1" x14ac:dyDescent="0.3">
      <c r="A2544" s="182"/>
      <c r="B2544" s="183"/>
      <c r="C2544" s="25"/>
      <c r="D2544" s="25"/>
      <c r="E2544" s="26"/>
      <c r="F2544" s="27"/>
      <c r="G2544" s="19" t="s">
        <v>1079</v>
      </c>
      <c r="H2544" s="27"/>
      <c r="I2544" s="23" t="str">
        <f>IF(ISNUMBER(G2544),E2544*G2544,"")</f>
        <v/>
      </c>
      <c r="J2544" s="24"/>
      <c r="K2544" s="19"/>
      <c r="L2544" s="174">
        <v>0</v>
      </c>
    </row>
    <row r="2545" spans="1:12" ht="15.75" thickBot="1" x14ac:dyDescent="0.3">
      <c r="A2545" s="288" t="s">
        <v>1512</v>
      </c>
      <c r="B2545" s="289" t="str">
        <f>INDEX(Orçamentária!A:B,MATCH(Composições!A2545,Orçamentária!A:A,0),2)</f>
        <v>Vidro temperado incolor com 8mm de espessura</v>
      </c>
      <c r="C2545" s="274"/>
      <c r="D2545" s="265" t="str">
        <f>TRIM(INDEX(Orçamentária!C:C,MATCH(Composições!A2545,Orçamentária!A:A,0),1))</f>
        <v>m2</v>
      </c>
      <c r="E2545" s="290"/>
      <c r="F2545" s="259" t="str">
        <f>F2547</f>
        <v>Sinapi 84957</v>
      </c>
      <c r="G2545" s="260" t="s">
        <v>1079</v>
      </c>
      <c r="H2545" s="261"/>
      <c r="I2545" s="261" t="str">
        <f>IF(ISNUMBER(G2545),E2545*G2545,"")</f>
        <v/>
      </c>
      <c r="J2545" s="280"/>
      <c r="K2545" s="18"/>
      <c r="L2545" s="174">
        <v>11.08</v>
      </c>
    </row>
    <row r="2546" spans="1:12" x14ac:dyDescent="0.25">
      <c r="A2546" s="291"/>
      <c r="B2546" s="292"/>
      <c r="C2546" s="155"/>
      <c r="D2546" s="155"/>
      <c r="E2546" s="293"/>
      <c r="F2546" s="256"/>
      <c r="G2546" s="262" t="s">
        <v>1079</v>
      </c>
      <c r="H2546" s="155"/>
      <c r="I2546" s="258" t="str">
        <f>IF(ISNUMBER(G2546),E2546*G2546,"")</f>
        <v/>
      </c>
      <c r="J2546" s="281"/>
      <c r="K2546" s="19"/>
      <c r="L2546" s="174">
        <v>11.08</v>
      </c>
    </row>
    <row r="2547" spans="1:12" x14ac:dyDescent="0.25">
      <c r="A2547" s="291"/>
      <c r="B2547" s="292"/>
      <c r="C2547" s="105" t="s">
        <v>134</v>
      </c>
      <c r="D2547" s="105" t="s">
        <v>21</v>
      </c>
      <c r="E2547" s="250">
        <v>1</v>
      </c>
      <c r="F2547" s="176" t="s">
        <v>1513</v>
      </c>
      <c r="G2547" s="258">
        <v>17.850499999999997</v>
      </c>
      <c r="H2547" s="176" t="s">
        <v>135</v>
      </c>
      <c r="I2547" s="258">
        <f>IF(ISNUMBER(G2547),E2547*G2547,"")</f>
        <v>17.850499999999997</v>
      </c>
      <c r="J2547" s="295">
        <f>SUM(I2547:I2550)</f>
        <v>151.81569999999999</v>
      </c>
      <c r="K2547" s="29"/>
      <c r="L2547" s="174">
        <v>11.08</v>
      </c>
    </row>
    <row r="2548" spans="1:12" x14ac:dyDescent="0.25">
      <c r="A2548" s="291"/>
      <c r="B2548" s="292"/>
      <c r="C2548" s="105" t="s">
        <v>38</v>
      </c>
      <c r="D2548" s="105" t="s">
        <v>21</v>
      </c>
      <c r="E2548" s="250">
        <v>0.2</v>
      </c>
      <c r="F2548" s="176" t="s">
        <v>1513</v>
      </c>
      <c r="G2548" s="258">
        <v>14.325999999999999</v>
      </c>
      <c r="H2548" s="176" t="s">
        <v>39</v>
      </c>
      <c r="I2548" s="258">
        <f>IF(ISNUMBER(G2548),E2548*G2548,"")</f>
        <v>2.8651999999999997</v>
      </c>
      <c r="J2548" s="281"/>
      <c r="K2548" s="19"/>
      <c r="L2548" s="174">
        <v>11.08</v>
      </c>
    </row>
    <row r="2549" spans="1:12" x14ac:dyDescent="0.25">
      <c r="A2549" s="291"/>
      <c r="B2549" s="292"/>
      <c r="C2549" s="105" t="s">
        <v>608</v>
      </c>
      <c r="D2549" s="105" t="s">
        <v>1511</v>
      </c>
      <c r="E2549" s="250">
        <v>2</v>
      </c>
      <c r="F2549" s="176" t="s">
        <v>1513</v>
      </c>
      <c r="G2549" s="257">
        <v>6.4409999999999998</v>
      </c>
      <c r="H2549" s="176" t="s">
        <v>609</v>
      </c>
      <c r="I2549" s="258">
        <f>IF(ISNUMBER(G2549),E2549*G2549,"")</f>
        <v>12.882</v>
      </c>
      <c r="J2549" s="281"/>
      <c r="K2549" s="19"/>
      <c r="L2549" s="174">
        <v>11.08</v>
      </c>
    </row>
    <row r="2550" spans="1:12" x14ac:dyDescent="0.25">
      <c r="A2550" s="291"/>
      <c r="B2550" s="292"/>
      <c r="C2550" s="105" t="s">
        <v>1514</v>
      </c>
      <c r="D2550" s="105" t="s">
        <v>189</v>
      </c>
      <c r="E2550" s="250">
        <v>1</v>
      </c>
      <c r="F2550" s="176" t="s">
        <v>1513</v>
      </c>
      <c r="G2550" s="257">
        <v>118.21799999999999</v>
      </c>
      <c r="H2550" s="176" t="s">
        <v>1515</v>
      </c>
      <c r="I2550" s="258">
        <f>IF(ISNUMBER(G2550),E2550*G2550,"")</f>
        <v>118.21799999999999</v>
      </c>
      <c r="J2550" s="281"/>
      <c r="K2550" s="19"/>
      <c r="L2550" s="174">
        <v>11.08</v>
      </c>
    </row>
    <row r="2551" spans="1:12" ht="15.75" thickBot="1" x14ac:dyDescent="0.3">
      <c r="A2551" s="296"/>
      <c r="B2551" s="297"/>
      <c r="C2551" s="105"/>
      <c r="D2551" s="105"/>
      <c r="E2551" s="250"/>
      <c r="F2551" s="176"/>
      <c r="G2551" s="257" t="s">
        <v>1079</v>
      </c>
      <c r="H2551" s="176"/>
      <c r="I2551" s="258" t="str">
        <f>IF(ISNUMBER(G2551),E2551*G2551,"")</f>
        <v/>
      </c>
      <c r="J2551" s="281"/>
      <c r="K2551" s="19"/>
      <c r="L2551" s="174">
        <v>11.08</v>
      </c>
    </row>
    <row r="2552" spans="1:12" ht="15.75" hidden="1" thickBot="1" x14ac:dyDescent="0.3">
      <c r="A2552" s="180" t="s">
        <v>1516</v>
      </c>
      <c r="B2552" s="178" t="str">
        <f>INDEX(Orçamentária!A:B,MATCH(Composições!A2552,Orçamentária!A:A,0),2)</f>
        <v>Vidro liso comum transparente 5mm</v>
      </c>
      <c r="C2552" s="30"/>
      <c r="D2552" s="13" t="str">
        <f>TRIM(INDEX(Orçamentária!C:C,MATCH(Composições!A2552,Orçamentária!A:A,0),1))</f>
        <v>m2</v>
      </c>
      <c r="E2552" s="14"/>
      <c r="F2552" s="15" t="str">
        <f>F2555</f>
        <v>Sinapi 72119</v>
      </c>
      <c r="G2552" s="31" t="s">
        <v>1079</v>
      </c>
      <c r="H2552" s="16"/>
      <c r="I2552" s="16" t="str">
        <f>IF(ISNUMBER(G2552),E2552*G2552,"")</f>
        <v/>
      </c>
      <c r="J2552" s="17"/>
      <c r="K2552" s="18"/>
      <c r="L2552" s="174">
        <v>0</v>
      </c>
    </row>
    <row r="2553" spans="1:12" ht="15.75" hidden="1" thickBot="1" x14ac:dyDescent="0.3">
      <c r="A2553" s="181"/>
      <c r="B2553" s="179"/>
      <c r="C2553" s="20"/>
      <c r="D2553" s="20"/>
      <c r="E2553" s="21"/>
      <c r="F2553" s="43"/>
      <c r="G2553" s="32" t="s">
        <v>1079</v>
      </c>
      <c r="H2553" s="20"/>
      <c r="I2553" s="23" t="str">
        <f>IF(ISNUMBER(G2553),E2553*G2553,"")</f>
        <v/>
      </c>
      <c r="J2553" s="24"/>
      <c r="K2553" s="19"/>
      <c r="L2553" s="174">
        <v>0</v>
      </c>
    </row>
    <row r="2554" spans="1:12" ht="15.75" hidden="1" thickBot="1" x14ac:dyDescent="0.3">
      <c r="A2554" s="181"/>
      <c r="B2554" s="179"/>
      <c r="C2554" s="25" t="s">
        <v>134</v>
      </c>
      <c r="D2554" s="36" t="s">
        <v>21</v>
      </c>
      <c r="E2554" s="26">
        <v>0.5</v>
      </c>
      <c r="F2554" s="27" t="s">
        <v>1517</v>
      </c>
      <c r="G2554" s="23">
        <v>17.850499999999997</v>
      </c>
      <c r="H2554" s="27" t="s">
        <v>135</v>
      </c>
      <c r="I2554" s="23">
        <f>IF(ISNUMBER(G2554),E2554*G2554,"")</f>
        <v>8.9252499999999984</v>
      </c>
      <c r="J2554" s="28">
        <f>SUM(I2554:I2557)</f>
        <v>120.46475000000001</v>
      </c>
      <c r="K2554" s="29"/>
      <c r="L2554" s="174">
        <v>0</v>
      </c>
    </row>
    <row r="2555" spans="1:12" ht="15.75" hidden="1" thickBot="1" x14ac:dyDescent="0.3">
      <c r="A2555" s="181"/>
      <c r="B2555" s="179"/>
      <c r="C2555" s="25" t="s">
        <v>38</v>
      </c>
      <c r="D2555" s="36" t="s">
        <v>21</v>
      </c>
      <c r="E2555" s="26">
        <v>0.5</v>
      </c>
      <c r="F2555" s="27" t="s">
        <v>1517</v>
      </c>
      <c r="G2555" s="23">
        <v>14.325999999999999</v>
      </c>
      <c r="H2555" s="27" t="s">
        <v>39</v>
      </c>
      <c r="I2555" s="23">
        <f>IF(ISNUMBER(G2555),E2555*G2555,"")</f>
        <v>7.1629999999999994</v>
      </c>
      <c r="J2555" s="24"/>
      <c r="K2555" s="19"/>
      <c r="L2555" s="174">
        <v>0</v>
      </c>
    </row>
    <row r="2556" spans="1:12" ht="15.75" hidden="1" thickBot="1" x14ac:dyDescent="0.3">
      <c r="A2556" s="181"/>
      <c r="B2556" s="179"/>
      <c r="C2556" s="25" t="s">
        <v>608</v>
      </c>
      <c r="D2556" s="36" t="s">
        <v>1511</v>
      </c>
      <c r="E2556" s="26">
        <v>1.5</v>
      </c>
      <c r="F2556" s="27" t="s">
        <v>1517</v>
      </c>
      <c r="G2556" s="19">
        <v>6.4409999999999998</v>
      </c>
      <c r="H2556" s="27" t="s">
        <v>609</v>
      </c>
      <c r="I2556" s="23">
        <f>IF(ISNUMBER(G2556),E2556*G2556,"")</f>
        <v>9.6615000000000002</v>
      </c>
      <c r="J2556" s="24"/>
      <c r="K2556" s="19"/>
      <c r="L2556" s="174">
        <v>0</v>
      </c>
    </row>
    <row r="2557" spans="1:12" ht="15.75" hidden="1" thickBot="1" x14ac:dyDescent="0.3">
      <c r="A2557" s="181"/>
      <c r="B2557" s="179"/>
      <c r="C2557" s="25" t="s">
        <v>1518</v>
      </c>
      <c r="D2557" s="36" t="s">
        <v>189</v>
      </c>
      <c r="E2557" s="26">
        <v>1</v>
      </c>
      <c r="F2557" s="27" t="s">
        <v>1517</v>
      </c>
      <c r="G2557" s="19">
        <v>94.715000000000003</v>
      </c>
      <c r="H2557" s="27" t="s">
        <v>1519</v>
      </c>
      <c r="I2557" s="23">
        <f>IF(ISNUMBER(G2557),E2557*G2557,"")</f>
        <v>94.715000000000003</v>
      </c>
      <c r="J2557" s="24"/>
      <c r="K2557" s="19"/>
      <c r="L2557" s="174">
        <v>0</v>
      </c>
    </row>
    <row r="2558" spans="1:12" ht="15.75" hidden="1" thickBot="1" x14ac:dyDescent="0.3">
      <c r="A2558" s="182"/>
      <c r="B2558" s="183"/>
      <c r="C2558" s="25"/>
      <c r="D2558" s="25"/>
      <c r="E2558" s="26"/>
      <c r="F2558" s="27"/>
      <c r="G2558" s="19" t="s">
        <v>1079</v>
      </c>
      <c r="H2558" s="27"/>
      <c r="I2558" s="23" t="str">
        <f>IF(ISNUMBER(G2558),E2558*G2558,"")</f>
        <v/>
      </c>
      <c r="J2558" s="24"/>
      <c r="K2558" s="19"/>
      <c r="L2558" s="174">
        <v>0</v>
      </c>
    </row>
    <row r="2559" spans="1:12" ht="15.75" hidden="1" thickBot="1" x14ac:dyDescent="0.3">
      <c r="A2559" s="180" t="s">
        <v>4038</v>
      </c>
      <c r="B2559" s="178" t="str">
        <f>INDEX(Orçamentária!A:B,MATCH(Composições!A2559,Orçamentária!A:A,0),2)</f>
        <v>Corte em vidro ou espelho reaproveitado</v>
      </c>
      <c r="C2559" s="30"/>
      <c r="D2559" s="13" t="str">
        <f>TRIM(INDEX(Orçamentária!C:C,MATCH(Composições!A2559,Orçamentária!A:A,0),1))</f>
        <v>m</v>
      </c>
      <c r="E2559" s="14"/>
      <c r="F2559" s="15" t="str">
        <f>F2561</f>
        <v>Senado Federal</v>
      </c>
      <c r="G2559" s="31" t="s">
        <v>1079</v>
      </c>
      <c r="H2559" s="16"/>
      <c r="I2559" s="16" t="str">
        <f>IF(ISNUMBER(G2559),E2559*G2559,"")</f>
        <v/>
      </c>
      <c r="J2559" s="17"/>
      <c r="K2559" s="18"/>
      <c r="L2559" s="174">
        <v>0</v>
      </c>
    </row>
    <row r="2560" spans="1:12" ht="15.75" hidden="1" thickBot="1" x14ac:dyDescent="0.3">
      <c r="A2560" s="181"/>
      <c r="B2560" s="179"/>
      <c r="C2560" s="20"/>
      <c r="D2560" s="20"/>
      <c r="E2560" s="21"/>
      <c r="F2560" s="43"/>
      <c r="G2560" s="32" t="s">
        <v>1079</v>
      </c>
      <c r="H2560" s="20"/>
      <c r="I2560" s="23" t="str">
        <f>IF(ISNUMBER(G2560),E2560*G2560,"")</f>
        <v/>
      </c>
      <c r="J2560" s="24"/>
      <c r="K2560" s="19"/>
      <c r="L2560" s="174">
        <v>0</v>
      </c>
    </row>
    <row r="2561" spans="1:12" ht="15.75" hidden="1" thickBot="1" x14ac:dyDescent="0.3">
      <c r="A2561" s="181"/>
      <c r="B2561" s="179"/>
      <c r="C2561" s="25" t="s">
        <v>134</v>
      </c>
      <c r="D2561" s="36" t="s">
        <v>21</v>
      </c>
      <c r="E2561" s="26">
        <v>0.5</v>
      </c>
      <c r="F2561" s="27" t="s">
        <v>17</v>
      </c>
      <c r="G2561" s="19">
        <v>17.850499999999997</v>
      </c>
      <c r="H2561" s="27" t="s">
        <v>135</v>
      </c>
      <c r="I2561" s="23">
        <f>IF(ISNUMBER(G2561),E2561*G2561,"")</f>
        <v>8.9252499999999984</v>
      </c>
      <c r="J2561" s="28">
        <f>SUM(I2561:I2562)</f>
        <v>16.088249999999999</v>
      </c>
      <c r="K2561" s="29"/>
      <c r="L2561" s="174">
        <v>0</v>
      </c>
    </row>
    <row r="2562" spans="1:12" ht="15.75" hidden="1" thickBot="1" x14ac:dyDescent="0.3">
      <c r="A2562" s="181"/>
      <c r="B2562" s="179"/>
      <c r="C2562" s="25" t="s">
        <v>38</v>
      </c>
      <c r="D2562" s="36" t="s">
        <v>21</v>
      </c>
      <c r="E2562" s="26">
        <v>0.5</v>
      </c>
      <c r="F2562" s="27" t="s">
        <v>17</v>
      </c>
      <c r="G2562" s="19">
        <v>14.325999999999999</v>
      </c>
      <c r="H2562" s="27" t="s">
        <v>39</v>
      </c>
      <c r="I2562" s="23">
        <f>IF(ISNUMBER(G2562),E2562*G2562,"")</f>
        <v>7.1629999999999994</v>
      </c>
      <c r="J2562" s="24"/>
      <c r="K2562" s="19"/>
      <c r="L2562" s="174">
        <v>0</v>
      </c>
    </row>
    <row r="2563" spans="1:12" ht="15.75" hidden="1" thickBot="1" x14ac:dyDescent="0.3">
      <c r="A2563" s="182"/>
      <c r="B2563" s="183"/>
      <c r="C2563" s="25"/>
      <c r="D2563" s="25"/>
      <c r="E2563" s="26"/>
      <c r="F2563" s="27"/>
      <c r="G2563" s="19" t="s">
        <v>1079</v>
      </c>
      <c r="H2563" s="27"/>
      <c r="I2563" s="23" t="str">
        <f>IF(ISNUMBER(G2563),E2563*G2563,"")</f>
        <v/>
      </c>
      <c r="J2563" s="24"/>
      <c r="K2563" s="19"/>
      <c r="L2563" s="174">
        <v>0</v>
      </c>
    </row>
    <row r="2564" spans="1:12" ht="15.75" hidden="1" thickBot="1" x14ac:dyDescent="0.3">
      <c r="A2564" s="180" t="s">
        <v>4040</v>
      </c>
      <c r="B2564" s="178" t="str">
        <f>INDEX(Orçamentária!A:B,MATCH(Composições!A2564,Orçamentária!A:A,0),2)</f>
        <v>Lapidação de vidro / espelho reaproveitado</v>
      </c>
      <c r="C2564" s="30"/>
      <c r="D2564" s="13" t="str">
        <f>TRIM(INDEX(Orçamentária!C:C,MATCH(Composições!A2564,Orçamentária!A:A,0),1))</f>
        <v>m</v>
      </c>
      <c r="E2564" s="14"/>
      <c r="F2564" s="15" t="str">
        <f>F2566</f>
        <v>Senado Federal</v>
      </c>
      <c r="G2564" s="31" t="s">
        <v>1079</v>
      </c>
      <c r="H2564" s="16"/>
      <c r="I2564" s="16" t="str">
        <f>IF(ISNUMBER(G2564),E2564*G2564,"")</f>
        <v/>
      </c>
      <c r="J2564" s="17"/>
      <c r="K2564" s="18"/>
      <c r="L2564" s="174">
        <v>0</v>
      </c>
    </row>
    <row r="2565" spans="1:12" ht="15.75" hidden="1" thickBot="1" x14ac:dyDescent="0.3">
      <c r="A2565" s="181"/>
      <c r="B2565" s="179"/>
      <c r="C2565" s="20"/>
      <c r="D2565" s="20"/>
      <c r="E2565" s="21"/>
      <c r="F2565" s="43"/>
      <c r="G2565" s="32" t="s">
        <v>1079</v>
      </c>
      <c r="H2565" s="20"/>
      <c r="I2565" s="23" t="str">
        <f>IF(ISNUMBER(G2565),E2565*G2565,"")</f>
        <v/>
      </c>
      <c r="J2565" s="24"/>
      <c r="K2565" s="19"/>
      <c r="L2565" s="174">
        <v>0</v>
      </c>
    </row>
    <row r="2566" spans="1:12" ht="15.75" hidden="1" thickBot="1" x14ac:dyDescent="0.3">
      <c r="A2566" s="181"/>
      <c r="B2566" s="179"/>
      <c r="C2566" s="25" t="s">
        <v>134</v>
      </c>
      <c r="D2566" s="36" t="s">
        <v>21</v>
      </c>
      <c r="E2566" s="26">
        <v>0.75</v>
      </c>
      <c r="F2566" s="27" t="s">
        <v>17</v>
      </c>
      <c r="G2566" s="19">
        <v>17.850499999999997</v>
      </c>
      <c r="H2566" s="27" t="s">
        <v>135</v>
      </c>
      <c r="I2566" s="23">
        <f>IF(ISNUMBER(G2566),E2566*G2566,"")</f>
        <v>13.387874999999998</v>
      </c>
      <c r="J2566" s="28">
        <f>SUM(I2566:I2567)</f>
        <v>24.132374999999996</v>
      </c>
      <c r="K2566" s="29"/>
      <c r="L2566" s="174">
        <v>0</v>
      </c>
    </row>
    <row r="2567" spans="1:12" ht="15.75" hidden="1" thickBot="1" x14ac:dyDescent="0.3">
      <c r="A2567" s="181"/>
      <c r="B2567" s="179"/>
      <c r="C2567" s="25" t="s">
        <v>38</v>
      </c>
      <c r="D2567" s="36" t="s">
        <v>21</v>
      </c>
      <c r="E2567" s="26">
        <v>0.75</v>
      </c>
      <c r="F2567" s="27" t="s">
        <v>17</v>
      </c>
      <c r="G2567" s="19">
        <v>14.325999999999999</v>
      </c>
      <c r="H2567" s="27" t="s">
        <v>39</v>
      </c>
      <c r="I2567" s="23">
        <f>IF(ISNUMBER(G2567),E2567*G2567,"")</f>
        <v>10.744499999999999</v>
      </c>
      <c r="J2567" s="24"/>
      <c r="K2567" s="19"/>
      <c r="L2567" s="174">
        <v>0</v>
      </c>
    </row>
    <row r="2568" spans="1:12" ht="15.75" hidden="1" thickBot="1" x14ac:dyDescent="0.3">
      <c r="A2568" s="182"/>
      <c r="B2568" s="183"/>
      <c r="C2568" s="25"/>
      <c r="D2568" s="25"/>
      <c r="E2568" s="26"/>
      <c r="F2568" s="27"/>
      <c r="G2568" s="19" t="s">
        <v>1079</v>
      </c>
      <c r="H2568" s="27"/>
      <c r="I2568" s="23" t="str">
        <f>IF(ISNUMBER(G2568),E2568*G2568,"")</f>
        <v/>
      </c>
      <c r="J2568" s="24"/>
      <c r="K2568" s="19"/>
      <c r="L2568" s="174">
        <v>0</v>
      </c>
    </row>
    <row r="2569" spans="1:12" ht="15.75" hidden="1" thickBot="1" x14ac:dyDescent="0.3">
      <c r="A2569" s="180" t="s">
        <v>1520</v>
      </c>
      <c r="B2569" s="178" t="str">
        <f>INDEX(Orçamentária!A:B,MATCH(Composições!A2569,Orçamentária!A:A,0),2)</f>
        <v>Vidro temperado incolor com 10 mm de espessura</v>
      </c>
      <c r="C2569" s="30"/>
      <c r="D2569" s="13" t="str">
        <f>TRIM(INDEX(Orçamentária!C:C,MATCH(Composições!A2569,Orçamentária!A:A,0),1))</f>
        <v>m2</v>
      </c>
      <c r="E2569" s="14"/>
      <c r="F2569" s="15" t="str">
        <f>F2571</f>
        <v>Sinapi 72120</v>
      </c>
      <c r="G2569" s="31" t="s">
        <v>1079</v>
      </c>
      <c r="H2569" s="16"/>
      <c r="I2569" s="16" t="str">
        <f>IF(ISNUMBER(G2569),E2569*G2569,"")</f>
        <v/>
      </c>
      <c r="J2569" s="17"/>
      <c r="K2569" s="18"/>
      <c r="L2569" s="174">
        <v>0</v>
      </c>
    </row>
    <row r="2570" spans="1:12" ht="15.75" hidden="1" thickBot="1" x14ac:dyDescent="0.3">
      <c r="A2570" s="181"/>
      <c r="B2570" s="179"/>
      <c r="C2570" s="20"/>
      <c r="D2570" s="20"/>
      <c r="E2570" s="21"/>
      <c r="F2570" s="43"/>
      <c r="G2570" s="32" t="s">
        <v>1079</v>
      </c>
      <c r="H2570" s="20"/>
      <c r="I2570" s="23" t="str">
        <f>IF(ISNUMBER(G2570),E2570*G2570,"")</f>
        <v/>
      </c>
      <c r="J2570" s="24"/>
      <c r="K2570" s="19"/>
      <c r="L2570" s="174">
        <v>0</v>
      </c>
    </row>
    <row r="2571" spans="1:12" ht="15.75" hidden="1" thickBot="1" x14ac:dyDescent="0.3">
      <c r="A2571" s="181"/>
      <c r="B2571" s="179"/>
      <c r="C2571" s="25" t="s">
        <v>134</v>
      </c>
      <c r="D2571" s="25" t="s">
        <v>21</v>
      </c>
      <c r="E2571" s="26">
        <v>0.5</v>
      </c>
      <c r="F2571" s="27" t="s">
        <v>1521</v>
      </c>
      <c r="G2571" s="23">
        <v>17.850499999999997</v>
      </c>
      <c r="H2571" s="27" t="s">
        <v>135</v>
      </c>
      <c r="I2571" s="23">
        <f>IF(ISNUMBER(G2571),E2571*G2571,"")</f>
        <v>8.9252499999999984</v>
      </c>
      <c r="J2571" s="28">
        <f>SUM(I2571:I2574)</f>
        <v>148.70824999999999</v>
      </c>
      <c r="K2571" s="29"/>
      <c r="L2571" s="174">
        <v>0</v>
      </c>
    </row>
    <row r="2572" spans="1:12" ht="15.75" hidden="1" thickBot="1" x14ac:dyDescent="0.3">
      <c r="A2572" s="181"/>
      <c r="B2572" s="179"/>
      <c r="C2572" s="25" t="s">
        <v>38</v>
      </c>
      <c r="D2572" s="25" t="s">
        <v>21</v>
      </c>
      <c r="E2572" s="26">
        <v>0.5</v>
      </c>
      <c r="F2572" s="27" t="s">
        <v>1521</v>
      </c>
      <c r="G2572" s="23">
        <v>14.325999999999999</v>
      </c>
      <c r="H2572" s="27" t="s">
        <v>39</v>
      </c>
      <c r="I2572" s="23">
        <f>IF(ISNUMBER(G2572),E2572*G2572,"")</f>
        <v>7.1629999999999994</v>
      </c>
      <c r="J2572" s="24"/>
      <c r="K2572" s="19"/>
      <c r="L2572" s="174">
        <v>0</v>
      </c>
    </row>
    <row r="2573" spans="1:12" ht="15.75" hidden="1" thickBot="1" x14ac:dyDescent="0.3">
      <c r="A2573" s="181"/>
      <c r="B2573" s="179"/>
      <c r="C2573" s="25" t="s">
        <v>608</v>
      </c>
      <c r="D2573" s="25" t="s">
        <v>1511</v>
      </c>
      <c r="E2573" s="26">
        <v>1.5</v>
      </c>
      <c r="F2573" s="27" t="s">
        <v>1521</v>
      </c>
      <c r="G2573" s="19">
        <v>6.4409999999999998</v>
      </c>
      <c r="H2573" s="27" t="s">
        <v>609</v>
      </c>
      <c r="I2573" s="23">
        <f>IF(ISNUMBER(G2573),E2573*G2573,"")</f>
        <v>9.6615000000000002</v>
      </c>
      <c r="J2573" s="24"/>
      <c r="K2573" s="19"/>
      <c r="L2573" s="174">
        <v>0</v>
      </c>
    </row>
    <row r="2574" spans="1:12" ht="15.75" hidden="1" thickBot="1" x14ac:dyDescent="0.3">
      <c r="A2574" s="181"/>
      <c r="B2574" s="179"/>
      <c r="C2574" s="25" t="s">
        <v>1522</v>
      </c>
      <c r="D2574" s="25" t="s">
        <v>189</v>
      </c>
      <c r="E2574" s="26">
        <v>1</v>
      </c>
      <c r="F2574" s="27" t="s">
        <v>1521</v>
      </c>
      <c r="G2574" s="19">
        <v>122.9585</v>
      </c>
      <c r="H2574" s="27" t="s">
        <v>1523</v>
      </c>
      <c r="I2574" s="23">
        <f>IF(ISNUMBER(G2574),E2574*G2574,"")</f>
        <v>122.9585</v>
      </c>
      <c r="J2574" s="24"/>
      <c r="K2574" s="19"/>
      <c r="L2574" s="174">
        <v>0</v>
      </c>
    </row>
    <row r="2575" spans="1:12" ht="15.75" hidden="1" thickBot="1" x14ac:dyDescent="0.3">
      <c r="A2575" s="182"/>
      <c r="B2575" s="183"/>
      <c r="C2575" s="25"/>
      <c r="D2575" s="25"/>
      <c r="E2575" s="26"/>
      <c r="F2575" s="27"/>
      <c r="G2575" s="19" t="s">
        <v>1079</v>
      </c>
      <c r="H2575" s="27"/>
      <c r="I2575" s="23" t="str">
        <f>IF(ISNUMBER(G2575),E2575*G2575,"")</f>
        <v/>
      </c>
      <c r="J2575" s="24"/>
      <c r="K2575" s="19"/>
      <c r="L2575" s="174">
        <v>0</v>
      </c>
    </row>
    <row r="2576" spans="1:12" ht="15.75" hidden="1" thickBot="1" x14ac:dyDescent="0.3">
      <c r="A2576" s="180" t="s">
        <v>1524</v>
      </c>
      <c r="B2576" s="178" t="str">
        <f>INDEX(Orçamentária!A:B,MATCH(Composições!A2576,Orçamentária!A:A,0),2)</f>
        <v>Bucha para pivô de dobradiça para vidro temperado</v>
      </c>
      <c r="C2576" s="30"/>
      <c r="D2576" s="13" t="str">
        <f>TRIM(INDEX(Orçamentária!C:C,MATCH(Composições!A2576,Orçamentária!A:A,0),1))</f>
        <v>un</v>
      </c>
      <c r="E2576" s="14"/>
      <c r="F2576" s="15" t="str">
        <f>F2578</f>
        <v>Senado Federal</v>
      </c>
      <c r="G2576" s="31" t="s">
        <v>1079</v>
      </c>
      <c r="H2576" s="16"/>
      <c r="I2576" s="16" t="str">
        <f>IF(ISNUMBER(G2576),E2576*G2576,"")</f>
        <v/>
      </c>
      <c r="J2576" s="17"/>
      <c r="K2576" s="18"/>
      <c r="L2576" s="174">
        <v>0</v>
      </c>
    </row>
    <row r="2577" spans="1:12" ht="15.75" hidden="1" thickBot="1" x14ac:dyDescent="0.3">
      <c r="A2577" s="181"/>
      <c r="B2577" s="179"/>
      <c r="C2577" s="20"/>
      <c r="D2577" s="20"/>
      <c r="E2577" s="21"/>
      <c r="F2577" s="43"/>
      <c r="G2577" s="32" t="s">
        <v>1079</v>
      </c>
      <c r="H2577" s="20"/>
      <c r="I2577" s="23" t="str">
        <f>IF(ISNUMBER(G2577),E2577*G2577,"")</f>
        <v/>
      </c>
      <c r="J2577" s="24"/>
      <c r="K2577" s="19"/>
      <c r="L2577" s="174">
        <v>0</v>
      </c>
    </row>
    <row r="2578" spans="1:12" ht="15.75" hidden="1" thickBot="1" x14ac:dyDescent="0.3">
      <c r="A2578" s="181"/>
      <c r="B2578" s="179"/>
      <c r="C2578" s="25" t="s">
        <v>134</v>
      </c>
      <c r="D2578" s="25" t="s">
        <v>21</v>
      </c>
      <c r="E2578" s="26">
        <v>0.15</v>
      </c>
      <c r="F2578" s="27" t="s">
        <v>17</v>
      </c>
      <c r="G2578" s="23">
        <v>17.850499999999997</v>
      </c>
      <c r="H2578" s="27" t="s">
        <v>135</v>
      </c>
      <c r="I2578" s="23">
        <f>IF(ISNUMBER(G2578),E2578*G2578,"")</f>
        <v>2.6775749999999996</v>
      </c>
      <c r="J2578" s="28">
        <f>SUM(I2578:I2579)</f>
        <v>3.6275749999999993</v>
      </c>
      <c r="K2578" s="29"/>
      <c r="L2578" s="174">
        <v>0</v>
      </c>
    </row>
    <row r="2579" spans="1:12" ht="26.25" hidden="1" thickBot="1" x14ac:dyDescent="0.3">
      <c r="A2579" s="181"/>
      <c r="B2579" s="179"/>
      <c r="C2579" s="25" t="s">
        <v>1525</v>
      </c>
      <c r="D2579" s="25" t="s">
        <v>32</v>
      </c>
      <c r="E2579" s="26">
        <v>1</v>
      </c>
      <c r="F2579" s="27" t="s">
        <v>17</v>
      </c>
      <c r="G2579" s="19">
        <v>0.95</v>
      </c>
      <c r="H2579" s="27" t="s">
        <v>4593</v>
      </c>
      <c r="I2579" s="23">
        <f>IF(ISNUMBER(G2579),E2579*G2579,"")</f>
        <v>0.95</v>
      </c>
      <c r="J2579" s="24"/>
      <c r="K2579" s="19"/>
      <c r="L2579" s="174">
        <v>0</v>
      </c>
    </row>
    <row r="2580" spans="1:12" ht="15.75" hidden="1" thickBot="1" x14ac:dyDescent="0.3">
      <c r="A2580" s="182"/>
      <c r="B2580" s="183"/>
      <c r="C2580" s="25"/>
      <c r="D2580" s="25"/>
      <c r="E2580" s="26"/>
      <c r="F2580" s="27"/>
      <c r="G2580" s="19" t="s">
        <v>1079</v>
      </c>
      <c r="H2580" s="27"/>
      <c r="I2580" s="23" t="str">
        <f>IF(ISNUMBER(G2580),E2580*G2580,"")</f>
        <v/>
      </c>
      <c r="J2580" s="24"/>
      <c r="K2580" s="19"/>
      <c r="L2580" s="174">
        <v>0</v>
      </c>
    </row>
    <row r="2581" spans="1:12" ht="15.75" hidden="1" thickBot="1" x14ac:dyDescent="0.3">
      <c r="A2581" s="180" t="s">
        <v>1526</v>
      </c>
      <c r="B2581" s="178" t="str">
        <f>INDEX(Orçamentária!A:B,MATCH(Composições!A2581,Orçamentária!A:A,0),2)</f>
        <v>Suporte para bandeira de vidro temperado, com ponto de giro para dobradiça</v>
      </c>
      <c r="C2581" s="30"/>
      <c r="D2581" s="13" t="str">
        <f>TRIM(INDEX(Orçamentária!C:C,MATCH(Composições!A2581,Orçamentária!A:A,0),1))</f>
        <v>un</v>
      </c>
      <c r="E2581" s="14"/>
      <c r="F2581" s="15" t="str">
        <f>F2583</f>
        <v>Senado Federal</v>
      </c>
      <c r="G2581" s="31" t="s">
        <v>1079</v>
      </c>
      <c r="H2581" s="16"/>
      <c r="I2581" s="16" t="str">
        <f>IF(ISNUMBER(G2581),E2581*G2581,"")</f>
        <v/>
      </c>
      <c r="J2581" s="17"/>
      <c r="K2581" s="18"/>
      <c r="L2581" s="174">
        <v>0</v>
      </c>
    </row>
    <row r="2582" spans="1:12" ht="15.75" hidden="1" thickBot="1" x14ac:dyDescent="0.3">
      <c r="A2582" s="181"/>
      <c r="B2582" s="179"/>
      <c r="C2582" s="20"/>
      <c r="D2582" s="20"/>
      <c r="E2582" s="21"/>
      <c r="F2582" s="43"/>
      <c r="G2582" s="32" t="s">
        <v>1079</v>
      </c>
      <c r="H2582" s="20"/>
      <c r="I2582" s="23" t="str">
        <f>IF(ISNUMBER(G2582),E2582*G2582,"")</f>
        <v/>
      </c>
      <c r="J2582" s="24"/>
      <c r="K2582" s="19"/>
      <c r="L2582" s="174">
        <v>0</v>
      </c>
    </row>
    <row r="2583" spans="1:12" ht="15.75" hidden="1" thickBot="1" x14ac:dyDescent="0.3">
      <c r="A2583" s="181"/>
      <c r="B2583" s="179"/>
      <c r="C2583" s="25" t="s">
        <v>134</v>
      </c>
      <c r="D2583" s="36" t="s">
        <v>21</v>
      </c>
      <c r="E2583" s="26">
        <v>0.3</v>
      </c>
      <c r="F2583" s="27" t="s">
        <v>17</v>
      </c>
      <c r="G2583" s="23">
        <v>17.850499999999997</v>
      </c>
      <c r="H2583" s="27" t="s">
        <v>135</v>
      </c>
      <c r="I2583" s="23">
        <f>IF(ISNUMBER(G2583),E2583*G2583,"")</f>
        <v>5.3551499999999992</v>
      </c>
      <c r="J2583" s="28">
        <f>SUM(I2583:I2584)</f>
        <v>6.3051499999999994</v>
      </c>
      <c r="K2583" s="29"/>
      <c r="L2583" s="174">
        <v>0</v>
      </c>
    </row>
    <row r="2584" spans="1:12" ht="26.25" hidden="1" thickBot="1" x14ac:dyDescent="0.3">
      <c r="A2584" s="181"/>
      <c r="B2584" s="179"/>
      <c r="C2584" s="25" t="s">
        <v>1527</v>
      </c>
      <c r="D2584" s="36" t="s">
        <v>32</v>
      </c>
      <c r="E2584" s="26">
        <v>1</v>
      </c>
      <c r="F2584" s="27" t="s">
        <v>17</v>
      </c>
      <c r="G2584" s="19">
        <v>0.95</v>
      </c>
      <c r="H2584" s="27" t="s">
        <v>4594</v>
      </c>
      <c r="I2584" s="23">
        <f>IF(ISNUMBER(G2584),E2584*G2584,"")</f>
        <v>0.95</v>
      </c>
      <c r="J2584" s="24"/>
      <c r="K2584" s="19"/>
      <c r="L2584" s="174">
        <v>0</v>
      </c>
    </row>
    <row r="2585" spans="1:12" ht="15.75" hidden="1" thickBot="1" x14ac:dyDescent="0.3">
      <c r="A2585" s="182"/>
      <c r="B2585" s="183"/>
      <c r="C2585" s="25"/>
      <c r="D2585" s="25"/>
      <c r="E2585" s="26"/>
      <c r="F2585" s="27"/>
      <c r="G2585" s="19" t="s">
        <v>1079</v>
      </c>
      <c r="H2585" s="27"/>
      <c r="I2585" s="23" t="str">
        <f>IF(ISNUMBER(G2585),E2585*G2585,"")</f>
        <v/>
      </c>
      <c r="J2585" s="24"/>
      <c r="K2585" s="19"/>
      <c r="L2585" s="174">
        <v>0</v>
      </c>
    </row>
    <row r="2586" spans="1:12" ht="15.75" hidden="1" thickBot="1" x14ac:dyDescent="0.3">
      <c r="A2586" s="180" t="s">
        <v>1528</v>
      </c>
      <c r="B2586" s="178" t="str">
        <f>INDEX(Orçamentária!A:B,MATCH(Composições!A2586,Orçamentária!A:A,0),2)</f>
        <v>Suporte de canto, simples, para vidro temperado</v>
      </c>
      <c r="C2586" s="30"/>
      <c r="D2586" s="13" t="str">
        <f>TRIM(INDEX(Orçamentária!C:C,MATCH(Composições!A2586,Orçamentária!A:A,0),1))</f>
        <v>un</v>
      </c>
      <c r="E2586" s="14"/>
      <c r="F2586" s="15" t="str">
        <f>F2588</f>
        <v>Senado Federal</v>
      </c>
      <c r="G2586" s="31" t="s">
        <v>1079</v>
      </c>
      <c r="H2586" s="16"/>
      <c r="I2586" s="16" t="str">
        <f>IF(ISNUMBER(G2586),E2586*G2586,"")</f>
        <v/>
      </c>
      <c r="J2586" s="17"/>
      <c r="K2586" s="18"/>
      <c r="L2586" s="174">
        <v>0</v>
      </c>
    </row>
    <row r="2587" spans="1:12" ht="15.75" hidden="1" thickBot="1" x14ac:dyDescent="0.3">
      <c r="A2587" s="181"/>
      <c r="B2587" s="179"/>
      <c r="C2587" s="20"/>
      <c r="D2587" s="20"/>
      <c r="E2587" s="21"/>
      <c r="F2587" s="43"/>
      <c r="G2587" s="32" t="s">
        <v>1079</v>
      </c>
      <c r="H2587" s="20"/>
      <c r="I2587" s="23" t="str">
        <f>IF(ISNUMBER(G2587),E2587*G2587,"")</f>
        <v/>
      </c>
      <c r="J2587" s="24"/>
      <c r="K2587" s="19"/>
      <c r="L2587" s="174">
        <v>0</v>
      </c>
    </row>
    <row r="2588" spans="1:12" ht="15.75" hidden="1" thickBot="1" x14ac:dyDescent="0.3">
      <c r="A2588" s="181"/>
      <c r="B2588" s="179"/>
      <c r="C2588" s="25" t="s">
        <v>134</v>
      </c>
      <c r="D2588" s="25" t="s">
        <v>21</v>
      </c>
      <c r="E2588" s="26">
        <v>0.15</v>
      </c>
      <c r="F2588" s="27" t="s">
        <v>17</v>
      </c>
      <c r="G2588" s="23">
        <v>17.850499999999997</v>
      </c>
      <c r="H2588" s="27" t="s">
        <v>135</v>
      </c>
      <c r="I2588" s="23">
        <f>IF(ISNUMBER(G2588),E2588*G2588,"")</f>
        <v>2.6775749999999996</v>
      </c>
      <c r="J2588" s="28">
        <f>SUM(I2588:I2589)</f>
        <v>3.6275749999999993</v>
      </c>
      <c r="K2588" s="29"/>
      <c r="L2588" s="174">
        <v>0</v>
      </c>
    </row>
    <row r="2589" spans="1:12" ht="26.25" hidden="1" thickBot="1" x14ac:dyDescent="0.3">
      <c r="A2589" s="181"/>
      <c r="B2589" s="179"/>
      <c r="C2589" s="25" t="s">
        <v>1529</v>
      </c>
      <c r="D2589" s="25" t="s">
        <v>32</v>
      </c>
      <c r="E2589" s="26">
        <v>1</v>
      </c>
      <c r="F2589" s="27" t="s">
        <v>17</v>
      </c>
      <c r="G2589" s="19">
        <v>0.95</v>
      </c>
      <c r="H2589" s="27" t="s">
        <v>4594</v>
      </c>
      <c r="I2589" s="23">
        <f>IF(ISNUMBER(G2589),E2589*G2589,"")</f>
        <v>0.95</v>
      </c>
      <c r="J2589" s="24"/>
      <c r="K2589" s="19"/>
      <c r="L2589" s="174">
        <v>0</v>
      </c>
    </row>
    <row r="2590" spans="1:12" ht="15.75" hidden="1" thickBot="1" x14ac:dyDescent="0.3">
      <c r="A2590" s="182"/>
      <c r="B2590" s="183"/>
      <c r="C2590" s="25"/>
      <c r="D2590" s="25"/>
      <c r="E2590" s="26"/>
      <c r="F2590" s="27"/>
      <c r="G2590" s="19" t="s">
        <v>1079</v>
      </c>
      <c r="H2590" s="27"/>
      <c r="I2590" s="23" t="str">
        <f>IF(ISNUMBER(G2590),E2590*G2590,"")</f>
        <v/>
      </c>
      <c r="J2590" s="24"/>
      <c r="K2590" s="19"/>
      <c r="L2590" s="174">
        <v>0</v>
      </c>
    </row>
    <row r="2591" spans="1:12" ht="15.75" hidden="1" thickBot="1" x14ac:dyDescent="0.3">
      <c r="A2591" s="180" t="s">
        <v>1530</v>
      </c>
      <c r="B2591" s="178" t="str">
        <f>INDEX(Orçamentária!A:B,MATCH(Composições!A2591,Orçamentária!A:A,0),2)</f>
        <v>Suporte de união, sem batedor, para dois ou três vidros temperados</v>
      </c>
      <c r="C2591" s="30"/>
      <c r="D2591" s="13" t="str">
        <f>TRIM(INDEX(Orçamentária!C:C,MATCH(Composições!A2591,Orçamentária!A:A,0),1))</f>
        <v>un</v>
      </c>
      <c r="E2591" s="14"/>
      <c r="F2591" s="15" t="str">
        <f>F2593</f>
        <v>Senado Federal</v>
      </c>
      <c r="G2591" s="31" t="s">
        <v>1079</v>
      </c>
      <c r="H2591" s="16"/>
      <c r="I2591" s="16" t="str">
        <f>IF(ISNUMBER(G2591),E2591*G2591,"")</f>
        <v/>
      </c>
      <c r="J2591" s="17"/>
      <c r="K2591" s="18"/>
      <c r="L2591" s="174">
        <v>0</v>
      </c>
    </row>
    <row r="2592" spans="1:12" ht="15.75" hidden="1" thickBot="1" x14ac:dyDescent="0.3">
      <c r="A2592" s="181"/>
      <c r="B2592" s="179"/>
      <c r="C2592" s="20"/>
      <c r="D2592" s="20"/>
      <c r="E2592" s="21"/>
      <c r="F2592" s="43"/>
      <c r="G2592" s="32" t="s">
        <v>1079</v>
      </c>
      <c r="H2592" s="20"/>
      <c r="I2592" s="23" t="str">
        <f>IF(ISNUMBER(G2592),E2592*G2592,"")</f>
        <v/>
      </c>
      <c r="J2592" s="24"/>
      <c r="K2592" s="19"/>
      <c r="L2592" s="174">
        <v>0</v>
      </c>
    </row>
    <row r="2593" spans="1:12" ht="15.75" hidden="1" thickBot="1" x14ac:dyDescent="0.3">
      <c r="A2593" s="181"/>
      <c r="B2593" s="179"/>
      <c r="C2593" s="25" t="s">
        <v>134</v>
      </c>
      <c r="D2593" s="25" t="s">
        <v>21</v>
      </c>
      <c r="E2593" s="26">
        <v>0.3</v>
      </c>
      <c r="F2593" s="27" t="s">
        <v>17</v>
      </c>
      <c r="G2593" s="23">
        <v>17.850499999999997</v>
      </c>
      <c r="H2593" s="27" t="s">
        <v>135</v>
      </c>
      <c r="I2593" s="23">
        <f>IF(ISNUMBER(G2593),E2593*G2593,"")</f>
        <v>5.3551499999999992</v>
      </c>
      <c r="J2593" s="28">
        <f>SUM(I2593:I2594)</f>
        <v>5.3551499999999992</v>
      </c>
      <c r="K2593" s="29"/>
      <c r="L2593" s="174">
        <v>0</v>
      </c>
    </row>
    <row r="2594" spans="1:12" ht="26.25" hidden="1" thickBot="1" x14ac:dyDescent="0.3">
      <c r="A2594" s="181"/>
      <c r="B2594" s="179"/>
      <c r="C2594" s="25" t="s">
        <v>1531</v>
      </c>
      <c r="D2594" s="25" t="s">
        <v>32</v>
      </c>
      <c r="E2594" s="26">
        <v>1</v>
      </c>
      <c r="F2594" s="27" t="s">
        <v>17</v>
      </c>
      <c r="G2594" s="19">
        <v>0</v>
      </c>
      <c r="H2594" s="27" t="s">
        <v>4595</v>
      </c>
      <c r="I2594" s="23">
        <f>IF(ISNUMBER(G2594),E2594*G2594,"")</f>
        <v>0</v>
      </c>
      <c r="J2594" s="24"/>
      <c r="K2594" s="19"/>
      <c r="L2594" s="174">
        <v>0</v>
      </c>
    </row>
    <row r="2595" spans="1:12" ht="15.75" hidden="1" thickBot="1" x14ac:dyDescent="0.3">
      <c r="A2595" s="181"/>
      <c r="B2595" s="179"/>
      <c r="C2595" s="25"/>
      <c r="D2595" s="25"/>
      <c r="E2595" s="26"/>
      <c r="F2595" s="27"/>
      <c r="G2595" s="19" t="s">
        <v>1079</v>
      </c>
      <c r="H2595" s="27"/>
      <c r="I2595" s="23" t="str">
        <f>IF(ISNUMBER(G2595),E2595*G2595,"")</f>
        <v/>
      </c>
      <c r="J2595" s="24"/>
      <c r="K2595" s="19"/>
      <c r="L2595" s="174">
        <v>0</v>
      </c>
    </row>
    <row r="2596" spans="1:12" ht="39.75" hidden="1" thickBot="1" x14ac:dyDescent="0.3">
      <c r="A2596" s="181"/>
      <c r="B2596" s="179"/>
      <c r="C2596" s="168" t="s">
        <v>1532</v>
      </c>
      <c r="D2596" s="25"/>
      <c r="E2596" s="26"/>
      <c r="F2596" s="27"/>
      <c r="G2596" s="19" t="s">
        <v>1079</v>
      </c>
      <c r="H2596" s="27"/>
      <c r="I2596" s="23" t="str">
        <f>IF(ISNUMBER(G2596),E2596*G2596,"")</f>
        <v/>
      </c>
      <c r="J2596" s="24"/>
      <c r="K2596" s="19"/>
      <c r="L2596" s="174">
        <v>0</v>
      </c>
    </row>
    <row r="2597" spans="1:12" ht="15.75" hidden="1" thickBot="1" x14ac:dyDescent="0.3">
      <c r="A2597" s="182"/>
      <c r="B2597" s="183"/>
      <c r="C2597" s="25"/>
      <c r="D2597" s="25"/>
      <c r="E2597" s="26"/>
      <c r="F2597" s="27"/>
      <c r="G2597" s="19" t="s">
        <v>1079</v>
      </c>
      <c r="H2597" s="27"/>
      <c r="I2597" s="23" t="str">
        <f>IF(ISNUMBER(G2597),E2597*G2597,"")</f>
        <v/>
      </c>
      <c r="J2597" s="24"/>
      <c r="K2597" s="19"/>
      <c r="L2597" s="174">
        <v>0</v>
      </c>
    </row>
    <row r="2598" spans="1:12" ht="15.75" hidden="1" thickBot="1" x14ac:dyDescent="0.3">
      <c r="A2598" s="180" t="s">
        <v>1533</v>
      </c>
      <c r="B2598" s="178" t="str">
        <f>INDEX(Orçamentária!A:B,MATCH(Composições!A2598,Orçamentária!A:A,0),2)</f>
        <v>Botão de correção para vidro temperado</v>
      </c>
      <c r="C2598" s="30"/>
      <c r="D2598" s="13" t="str">
        <f>TRIM(INDEX(Orçamentária!C:C,MATCH(Composições!A2598,Orçamentária!A:A,0),1))</f>
        <v>un</v>
      </c>
      <c r="E2598" s="14"/>
      <c r="F2598" s="15" t="str">
        <f>F2600</f>
        <v>Senado Federal</v>
      </c>
      <c r="G2598" s="31" t="s">
        <v>1079</v>
      </c>
      <c r="H2598" s="16"/>
      <c r="I2598" s="16" t="str">
        <f>IF(ISNUMBER(G2598),E2598*G2598,"")</f>
        <v/>
      </c>
      <c r="J2598" s="17"/>
      <c r="K2598" s="18"/>
      <c r="L2598" s="174">
        <v>0</v>
      </c>
    </row>
    <row r="2599" spans="1:12" ht="15.75" hidden="1" thickBot="1" x14ac:dyDescent="0.3">
      <c r="A2599" s="181"/>
      <c r="B2599" s="179"/>
      <c r="C2599" s="20"/>
      <c r="D2599" s="20"/>
      <c r="E2599" s="21"/>
      <c r="F2599" s="43"/>
      <c r="G2599" s="32" t="s">
        <v>1079</v>
      </c>
      <c r="H2599" s="20"/>
      <c r="I2599" s="23" t="str">
        <f>IF(ISNUMBER(G2599),E2599*G2599,"")</f>
        <v/>
      </c>
      <c r="J2599" s="24"/>
      <c r="K2599" s="19"/>
      <c r="L2599" s="174">
        <v>0</v>
      </c>
    </row>
    <row r="2600" spans="1:12" ht="15.75" hidden="1" thickBot="1" x14ac:dyDescent="0.3">
      <c r="A2600" s="181"/>
      <c r="B2600" s="179"/>
      <c r="C2600" s="25" t="s">
        <v>134</v>
      </c>
      <c r="D2600" s="25" t="s">
        <v>21</v>
      </c>
      <c r="E2600" s="26">
        <v>0.15</v>
      </c>
      <c r="F2600" s="27" t="s">
        <v>17</v>
      </c>
      <c r="G2600" s="23">
        <v>17.850499999999997</v>
      </c>
      <c r="H2600" s="27" t="s">
        <v>135</v>
      </c>
      <c r="I2600" s="23">
        <f>IF(ISNUMBER(G2600),E2600*G2600,"")</f>
        <v>2.6775749999999996</v>
      </c>
      <c r="J2600" s="28">
        <f>SUM(I2600:I2601)</f>
        <v>2.6775749999999996</v>
      </c>
      <c r="K2600" s="29"/>
      <c r="L2600" s="174">
        <v>0</v>
      </c>
    </row>
    <row r="2601" spans="1:12" ht="15.75" hidden="1" thickBot="1" x14ac:dyDescent="0.3">
      <c r="A2601" s="181"/>
      <c r="B2601" s="179"/>
      <c r="C2601" s="25" t="s">
        <v>1534</v>
      </c>
      <c r="D2601" s="25" t="s">
        <v>32</v>
      </c>
      <c r="E2601" s="26">
        <v>1</v>
      </c>
      <c r="F2601" s="27" t="s">
        <v>17</v>
      </c>
      <c r="G2601" s="19">
        <v>0</v>
      </c>
      <c r="H2601" s="27" t="s">
        <v>4593</v>
      </c>
      <c r="I2601" s="23">
        <f>IF(ISNUMBER(G2601),E2601*G2601,"")</f>
        <v>0</v>
      </c>
      <c r="J2601" s="24"/>
      <c r="K2601" s="19"/>
      <c r="L2601" s="174">
        <v>0</v>
      </c>
    </row>
    <row r="2602" spans="1:12" ht="15.75" hidden="1" thickBot="1" x14ac:dyDescent="0.3">
      <c r="A2602" s="182"/>
      <c r="B2602" s="183"/>
      <c r="C2602" s="25"/>
      <c r="D2602" s="25"/>
      <c r="E2602" s="26"/>
      <c r="F2602" s="27"/>
      <c r="G2602" s="19" t="s">
        <v>1079</v>
      </c>
      <c r="H2602" s="27"/>
      <c r="I2602" s="23" t="str">
        <f>IF(ISNUMBER(G2602),E2602*G2602,"")</f>
        <v/>
      </c>
      <c r="J2602" s="24"/>
      <c r="K2602" s="19"/>
      <c r="L2602" s="174">
        <v>0</v>
      </c>
    </row>
    <row r="2603" spans="1:12" ht="15.75" hidden="1" thickBot="1" x14ac:dyDescent="0.3">
      <c r="A2603" s="180" t="s">
        <v>1535</v>
      </c>
      <c r="B2603" s="178" t="str">
        <f>INDEX(Orçamentária!A:B,MATCH(Composições!A2603,Orçamentária!A:A,0),2)</f>
        <v>Fechadura bico-de-papagaio, com furo, para vidro temperado</v>
      </c>
      <c r="C2603" s="30"/>
      <c r="D2603" s="13" t="str">
        <f>TRIM(INDEX(Orçamentária!C:C,MATCH(Composições!A2603,Orçamentária!A:A,0),1))</f>
        <v>un</v>
      </c>
      <c r="E2603" s="14"/>
      <c r="F2603" s="15" t="s">
        <v>17</v>
      </c>
      <c r="G2603" s="31" t="s">
        <v>1079</v>
      </c>
      <c r="H2603" s="16"/>
      <c r="I2603" s="16" t="str">
        <f>IF(ISNUMBER(G2603),E2603*G2603,"")</f>
        <v/>
      </c>
      <c r="J2603" s="17"/>
      <c r="K2603" s="18"/>
      <c r="L2603" s="174">
        <v>0</v>
      </c>
    </row>
    <row r="2604" spans="1:12" ht="15.75" hidden="1" thickBot="1" x14ac:dyDescent="0.3">
      <c r="A2604" s="181"/>
      <c r="B2604" s="179"/>
      <c r="C2604" s="20"/>
      <c r="D2604" s="20"/>
      <c r="E2604" s="21"/>
      <c r="F2604" s="43"/>
      <c r="G2604" s="32" t="s">
        <v>1079</v>
      </c>
      <c r="H2604" s="20"/>
      <c r="I2604" s="23" t="str">
        <f>IF(ISNUMBER(G2604),E2604*G2604,"")</f>
        <v/>
      </c>
      <c r="J2604" s="24"/>
      <c r="K2604" s="19"/>
      <c r="L2604" s="174">
        <v>0</v>
      </c>
    </row>
    <row r="2605" spans="1:12" ht="15.75" hidden="1" thickBot="1" x14ac:dyDescent="0.3">
      <c r="A2605" s="181"/>
      <c r="B2605" s="179"/>
      <c r="C2605" s="25" t="s">
        <v>134</v>
      </c>
      <c r="D2605" s="25" t="s">
        <v>21</v>
      </c>
      <c r="E2605" s="26">
        <v>0.4</v>
      </c>
      <c r="F2605" s="27" t="s">
        <v>17</v>
      </c>
      <c r="G2605" s="23">
        <v>17.850499999999997</v>
      </c>
      <c r="H2605" s="27" t="s">
        <v>135</v>
      </c>
      <c r="I2605" s="23">
        <f>IF(ISNUMBER(G2605),E2605*G2605,"")</f>
        <v>7.1401999999999992</v>
      </c>
      <c r="J2605" s="28">
        <f>SUM(I2605:I2606)</f>
        <v>7.1401999999999992</v>
      </c>
      <c r="K2605" s="29"/>
      <c r="L2605" s="174">
        <v>0</v>
      </c>
    </row>
    <row r="2606" spans="1:12" ht="26.25" hidden="1" thickBot="1" x14ac:dyDescent="0.3">
      <c r="A2606" s="181"/>
      <c r="B2606" s="179"/>
      <c r="C2606" s="25" t="s">
        <v>1536</v>
      </c>
      <c r="D2606" s="25" t="s">
        <v>32</v>
      </c>
      <c r="E2606" s="26">
        <v>1</v>
      </c>
      <c r="F2606" s="27" t="s">
        <v>17</v>
      </c>
      <c r="G2606" s="19" t="s">
        <v>1079</v>
      </c>
      <c r="H2606" s="27" t="s">
        <v>33</v>
      </c>
      <c r="I2606" s="23" t="str">
        <f>IF(ISNUMBER(G2606),E2606*G2606,"")</f>
        <v/>
      </c>
      <c r="J2606" s="24"/>
      <c r="K2606" s="19"/>
      <c r="L2606" s="174">
        <v>0</v>
      </c>
    </row>
    <row r="2607" spans="1:12" ht="15.75" hidden="1" thickBot="1" x14ac:dyDescent="0.3">
      <c r="A2607" s="182"/>
      <c r="B2607" s="183"/>
      <c r="C2607" s="25"/>
      <c r="D2607" s="25"/>
      <c r="E2607" s="26"/>
      <c r="F2607" s="27"/>
      <c r="G2607" s="19" t="s">
        <v>1079</v>
      </c>
      <c r="H2607" s="27"/>
      <c r="I2607" s="23" t="str">
        <f>IF(ISNUMBER(G2607),E2607*G2607,"")</f>
        <v/>
      </c>
      <c r="J2607" s="24"/>
      <c r="K2607" s="19"/>
      <c r="L2607" s="174">
        <v>0</v>
      </c>
    </row>
    <row r="2608" spans="1:12" ht="15.75" hidden="1" thickBot="1" x14ac:dyDescent="0.3">
      <c r="A2608" s="180" t="s">
        <v>1537</v>
      </c>
      <c r="B2608" s="178" t="str">
        <f>INDEX(Orçamentária!A:B,MATCH(Composições!A2608,Orçamentária!A:A,0),2)</f>
        <v>Fechadura bico-de-papagaio, com furo, para janela de vidro temperado</v>
      </c>
      <c r="C2608" s="30"/>
      <c r="D2608" s="13" t="str">
        <f>TRIM(INDEX(Orçamentária!C:C,MATCH(Composições!A2608,Orçamentária!A:A,0),1))</f>
        <v>un</v>
      </c>
      <c r="E2608" s="14"/>
      <c r="F2608" s="15" t="s">
        <v>17</v>
      </c>
      <c r="G2608" s="31" t="s">
        <v>1079</v>
      </c>
      <c r="H2608" s="16"/>
      <c r="I2608" s="16" t="str">
        <f>IF(ISNUMBER(G2608),E2608*G2608,"")</f>
        <v/>
      </c>
      <c r="J2608" s="17"/>
      <c r="K2608" s="18"/>
      <c r="L2608" s="174">
        <v>0</v>
      </c>
    </row>
    <row r="2609" spans="1:12" ht="15.75" hidden="1" thickBot="1" x14ac:dyDescent="0.3">
      <c r="A2609" s="181"/>
      <c r="B2609" s="179"/>
      <c r="C2609" s="20"/>
      <c r="D2609" s="20"/>
      <c r="E2609" s="21"/>
      <c r="F2609" s="43"/>
      <c r="G2609" s="32" t="s">
        <v>1079</v>
      </c>
      <c r="H2609" s="20"/>
      <c r="I2609" s="23" t="str">
        <f>IF(ISNUMBER(G2609),E2609*G2609,"")</f>
        <v/>
      </c>
      <c r="J2609" s="24"/>
      <c r="K2609" s="19"/>
      <c r="L2609" s="174">
        <v>0</v>
      </c>
    </row>
    <row r="2610" spans="1:12" ht="15.75" hidden="1" thickBot="1" x14ac:dyDescent="0.3">
      <c r="A2610" s="181"/>
      <c r="B2610" s="179"/>
      <c r="C2610" s="25" t="s">
        <v>134</v>
      </c>
      <c r="D2610" s="25" t="s">
        <v>21</v>
      </c>
      <c r="E2610" s="26">
        <v>0.4</v>
      </c>
      <c r="F2610" s="27" t="s">
        <v>17</v>
      </c>
      <c r="G2610" s="23">
        <v>17.850499999999997</v>
      </c>
      <c r="H2610" s="27" t="s">
        <v>135</v>
      </c>
      <c r="I2610" s="23">
        <f>IF(ISNUMBER(G2610),E2610*G2610,"")</f>
        <v>7.1401999999999992</v>
      </c>
      <c r="J2610" s="28">
        <f>SUM(I2610:I2611)</f>
        <v>7.1401999999999992</v>
      </c>
      <c r="K2610" s="29"/>
      <c r="L2610" s="174">
        <v>0</v>
      </c>
    </row>
    <row r="2611" spans="1:12" ht="39" hidden="1" thickBot="1" x14ac:dyDescent="0.3">
      <c r="A2611" s="181"/>
      <c r="B2611" s="179"/>
      <c r="C2611" s="25" t="s">
        <v>1538</v>
      </c>
      <c r="D2611" s="25" t="s">
        <v>32</v>
      </c>
      <c r="E2611" s="26">
        <v>1</v>
      </c>
      <c r="F2611" s="27" t="s">
        <v>17</v>
      </c>
      <c r="G2611" s="19" t="s">
        <v>1079</v>
      </c>
      <c r="H2611" s="27" t="s">
        <v>33</v>
      </c>
      <c r="I2611" s="23" t="str">
        <f>IF(ISNUMBER(G2611),E2611*G2611,"")</f>
        <v/>
      </c>
      <c r="J2611" s="24"/>
      <c r="K2611" s="19"/>
      <c r="L2611" s="174">
        <v>0</v>
      </c>
    </row>
    <row r="2612" spans="1:12" ht="15.75" hidden="1" thickBot="1" x14ac:dyDescent="0.3">
      <c r="A2612" s="182"/>
      <c r="B2612" s="183"/>
      <c r="C2612" s="25"/>
      <c r="D2612" s="25"/>
      <c r="E2612" s="26"/>
      <c r="F2612" s="27"/>
      <c r="G2612" s="19" t="s">
        <v>1079</v>
      </c>
      <c r="H2612" s="27"/>
      <c r="I2612" s="23" t="str">
        <f>IF(ISNUMBER(G2612),E2612*G2612,"")</f>
        <v/>
      </c>
      <c r="J2612" s="24"/>
      <c r="K2612" s="19"/>
      <c r="L2612" s="174">
        <v>0</v>
      </c>
    </row>
    <row r="2613" spans="1:12" ht="15.75" hidden="1" thickBot="1" x14ac:dyDescent="0.3">
      <c r="A2613" s="180" t="s">
        <v>1539</v>
      </c>
      <c r="B2613" s="178" t="str">
        <f>INDEX(Orçamentária!A:B,MATCH(Composições!A2613,Orçamentária!A:A,0),2)</f>
        <v>Fechadura para porta de abrir de vidro temperado</v>
      </c>
      <c r="C2613" s="30"/>
      <c r="D2613" s="13" t="str">
        <f>TRIM(INDEX(Orçamentária!C:C,MATCH(Composições!A2613,Orçamentária!A:A,0),1))</f>
        <v>un</v>
      </c>
      <c r="E2613" s="14"/>
      <c r="F2613" s="15" t="s">
        <v>17</v>
      </c>
      <c r="G2613" s="31" t="s">
        <v>1079</v>
      </c>
      <c r="H2613" s="16"/>
      <c r="I2613" s="16" t="str">
        <f>IF(ISNUMBER(G2613),E2613*G2613,"")</f>
        <v/>
      </c>
      <c r="J2613" s="17"/>
      <c r="K2613" s="18"/>
      <c r="L2613" s="174">
        <v>0</v>
      </c>
    </row>
    <row r="2614" spans="1:12" ht="15.75" hidden="1" thickBot="1" x14ac:dyDescent="0.3">
      <c r="A2614" s="181"/>
      <c r="B2614" s="179"/>
      <c r="C2614" s="20"/>
      <c r="D2614" s="20"/>
      <c r="E2614" s="21"/>
      <c r="F2614" s="43"/>
      <c r="G2614" s="32" t="s">
        <v>1079</v>
      </c>
      <c r="H2614" s="20"/>
      <c r="I2614" s="23" t="str">
        <f>IF(ISNUMBER(G2614),E2614*G2614,"")</f>
        <v/>
      </c>
      <c r="J2614" s="24"/>
      <c r="K2614" s="19"/>
      <c r="L2614" s="174">
        <v>0</v>
      </c>
    </row>
    <row r="2615" spans="1:12" ht="15.75" hidden="1" thickBot="1" x14ac:dyDescent="0.3">
      <c r="A2615" s="181"/>
      <c r="B2615" s="179"/>
      <c r="C2615" s="25" t="s">
        <v>134</v>
      </c>
      <c r="D2615" s="25" t="s">
        <v>21</v>
      </c>
      <c r="E2615" s="26">
        <v>0.4</v>
      </c>
      <c r="F2615" s="27" t="s">
        <v>17</v>
      </c>
      <c r="G2615" s="23">
        <v>17.850499999999997</v>
      </c>
      <c r="H2615" s="27" t="s">
        <v>135</v>
      </c>
      <c r="I2615" s="23">
        <f>IF(ISNUMBER(G2615),E2615*G2615,"")</f>
        <v>7.1401999999999992</v>
      </c>
      <c r="J2615" s="28">
        <f>SUM(I2615:I2616)</f>
        <v>7.1401999999999992</v>
      </c>
      <c r="K2615" s="29"/>
      <c r="L2615" s="174">
        <v>0</v>
      </c>
    </row>
    <row r="2616" spans="1:12" ht="26.25" hidden="1" thickBot="1" x14ac:dyDescent="0.3">
      <c r="A2616" s="181"/>
      <c r="B2616" s="179"/>
      <c r="C2616" s="25" t="s">
        <v>1540</v>
      </c>
      <c r="D2616" s="25" t="s">
        <v>32</v>
      </c>
      <c r="E2616" s="26">
        <v>1</v>
      </c>
      <c r="F2616" s="27" t="s">
        <v>17</v>
      </c>
      <c r="G2616" s="19" t="s">
        <v>1079</v>
      </c>
      <c r="H2616" s="27" t="s">
        <v>33</v>
      </c>
      <c r="I2616" s="23" t="str">
        <f>IF(ISNUMBER(G2616),E2616*G2616,"")</f>
        <v/>
      </c>
      <c r="J2616" s="24"/>
      <c r="K2616" s="19"/>
      <c r="L2616" s="174">
        <v>0</v>
      </c>
    </row>
    <row r="2617" spans="1:12" ht="15.75" hidden="1" thickBot="1" x14ac:dyDescent="0.3">
      <c r="A2617" s="182"/>
      <c r="B2617" s="183"/>
      <c r="C2617" s="25"/>
      <c r="D2617" s="25"/>
      <c r="E2617" s="26"/>
      <c r="F2617" s="27"/>
      <c r="G2617" s="19" t="s">
        <v>1079</v>
      </c>
      <c r="H2617" s="27"/>
      <c r="I2617" s="23" t="str">
        <f>IF(ISNUMBER(G2617),E2617*G2617,"")</f>
        <v/>
      </c>
      <c r="J2617" s="24"/>
      <c r="K2617" s="19"/>
      <c r="L2617" s="174">
        <v>0</v>
      </c>
    </row>
    <row r="2618" spans="1:12" ht="15.75" hidden="1" thickBot="1" x14ac:dyDescent="0.3">
      <c r="A2618" s="180" t="s">
        <v>1541</v>
      </c>
      <c r="B2618" s="178" t="str">
        <f>INDEX(Orçamentária!A:B,MATCH(Composições!A2618,Orçamentária!A:A,0),2)</f>
        <v>Contra fechadura, para alvenaria, para porta com fechadura 1520/9520</v>
      </c>
      <c r="C2618" s="30"/>
      <c r="D2618" s="13" t="str">
        <f>TRIM(INDEX(Orçamentária!C:C,MATCH(Composições!A2618,Orçamentária!A:A,0),1))</f>
        <v>un</v>
      </c>
      <c r="E2618" s="14"/>
      <c r="F2618" s="15" t="s">
        <v>17</v>
      </c>
      <c r="G2618" s="31" t="s">
        <v>1079</v>
      </c>
      <c r="H2618" s="16"/>
      <c r="I2618" s="16" t="str">
        <f>IF(ISNUMBER(G2618),E2618*G2618,"")</f>
        <v/>
      </c>
      <c r="J2618" s="17"/>
      <c r="K2618" s="18"/>
      <c r="L2618" s="174">
        <v>0</v>
      </c>
    </row>
    <row r="2619" spans="1:12" ht="15.75" hidden="1" thickBot="1" x14ac:dyDescent="0.3">
      <c r="A2619" s="181"/>
      <c r="B2619" s="179"/>
      <c r="C2619" s="20"/>
      <c r="D2619" s="20"/>
      <c r="E2619" s="21"/>
      <c r="F2619" s="43"/>
      <c r="G2619" s="32" t="s">
        <v>1079</v>
      </c>
      <c r="H2619" s="20"/>
      <c r="I2619" s="23" t="str">
        <f>IF(ISNUMBER(G2619),E2619*G2619,"")</f>
        <v/>
      </c>
      <c r="J2619" s="24"/>
      <c r="K2619" s="19"/>
      <c r="L2619" s="174">
        <v>0</v>
      </c>
    </row>
    <row r="2620" spans="1:12" ht="15.75" hidden="1" thickBot="1" x14ac:dyDescent="0.3">
      <c r="A2620" s="181"/>
      <c r="B2620" s="179"/>
      <c r="C2620" s="25" t="s">
        <v>134</v>
      </c>
      <c r="D2620" s="25" t="s">
        <v>21</v>
      </c>
      <c r="E2620" s="26">
        <v>0.25</v>
      </c>
      <c r="F2620" s="27" t="s">
        <v>17</v>
      </c>
      <c r="G2620" s="23">
        <v>17.850499999999997</v>
      </c>
      <c r="H2620" s="27" t="s">
        <v>135</v>
      </c>
      <c r="I2620" s="23">
        <f>IF(ISNUMBER(G2620),E2620*G2620,"")</f>
        <v>4.4626249999999992</v>
      </c>
      <c r="J2620" s="28">
        <f>SUM(I2620:I2621)</f>
        <v>4.4626249999999992</v>
      </c>
      <c r="K2620" s="29"/>
      <c r="L2620" s="174">
        <v>0</v>
      </c>
    </row>
    <row r="2621" spans="1:12" ht="39" hidden="1" thickBot="1" x14ac:dyDescent="0.3">
      <c r="A2621" s="181"/>
      <c r="B2621" s="179"/>
      <c r="C2621" s="25" t="s">
        <v>1542</v>
      </c>
      <c r="D2621" s="25" t="s">
        <v>32</v>
      </c>
      <c r="E2621" s="26">
        <v>1</v>
      </c>
      <c r="F2621" s="27" t="s">
        <v>17</v>
      </c>
      <c r="G2621" s="19" t="s">
        <v>1079</v>
      </c>
      <c r="H2621" s="27" t="s">
        <v>33</v>
      </c>
      <c r="I2621" s="23" t="str">
        <f>IF(ISNUMBER(G2621),E2621*G2621,"")</f>
        <v/>
      </c>
      <c r="J2621" s="24"/>
      <c r="K2621" s="19"/>
      <c r="L2621" s="174">
        <v>0</v>
      </c>
    </row>
    <row r="2622" spans="1:12" ht="15.75" hidden="1" thickBot="1" x14ac:dyDescent="0.3">
      <c r="A2622" s="182"/>
      <c r="B2622" s="183"/>
      <c r="C2622" s="25"/>
      <c r="D2622" s="25"/>
      <c r="E2622" s="26"/>
      <c r="F2622" s="27"/>
      <c r="G2622" s="19" t="s">
        <v>1079</v>
      </c>
      <c r="H2622" s="27"/>
      <c r="I2622" s="23" t="str">
        <f>IF(ISNUMBER(G2622),E2622*G2622,"")</f>
        <v/>
      </c>
      <c r="J2622" s="24"/>
      <c r="K2622" s="19"/>
      <c r="L2622" s="174">
        <v>0</v>
      </c>
    </row>
    <row r="2623" spans="1:12" ht="15.75" hidden="1" thickBot="1" x14ac:dyDescent="0.3">
      <c r="A2623" s="180" t="s">
        <v>1543</v>
      </c>
      <c r="B2623" s="178" t="str">
        <f>INDEX(Orçamentária!A:B,MATCH(Composições!A2623,Orçamentária!A:A,0),2)</f>
        <v>Contra fechadura de pressão para porta de vidro temperado</v>
      </c>
      <c r="C2623" s="30"/>
      <c r="D2623" s="13" t="str">
        <f>TRIM(INDEX(Orçamentária!C:C,MATCH(Composições!A2623,Orçamentária!A:A,0),1))</f>
        <v>un</v>
      </c>
      <c r="E2623" s="14"/>
      <c r="F2623" s="15" t="s">
        <v>17</v>
      </c>
      <c r="G2623" s="31" t="s">
        <v>1079</v>
      </c>
      <c r="H2623" s="16"/>
      <c r="I2623" s="16" t="str">
        <f>IF(ISNUMBER(G2623),E2623*G2623,"")</f>
        <v/>
      </c>
      <c r="J2623" s="17"/>
      <c r="K2623" s="18"/>
      <c r="L2623" s="174">
        <v>0</v>
      </c>
    </row>
    <row r="2624" spans="1:12" ht="15.75" hidden="1" thickBot="1" x14ac:dyDescent="0.3">
      <c r="A2624" s="181"/>
      <c r="B2624" s="179"/>
      <c r="C2624" s="20"/>
      <c r="D2624" s="20"/>
      <c r="E2624" s="21"/>
      <c r="F2624" s="43"/>
      <c r="G2624" s="32" t="s">
        <v>1079</v>
      </c>
      <c r="H2624" s="20"/>
      <c r="I2624" s="23" t="str">
        <f>IF(ISNUMBER(G2624),E2624*G2624,"")</f>
        <v/>
      </c>
      <c r="J2624" s="24"/>
      <c r="K2624" s="19"/>
      <c r="L2624" s="174">
        <v>0</v>
      </c>
    </row>
    <row r="2625" spans="1:12" ht="15.75" hidden="1" thickBot="1" x14ac:dyDescent="0.3">
      <c r="A2625" s="181"/>
      <c r="B2625" s="179"/>
      <c r="C2625" s="25" t="s">
        <v>134</v>
      </c>
      <c r="D2625" s="25" t="s">
        <v>21</v>
      </c>
      <c r="E2625" s="26">
        <v>0.25</v>
      </c>
      <c r="F2625" s="27" t="s">
        <v>17</v>
      </c>
      <c r="G2625" s="23">
        <v>17.850499999999997</v>
      </c>
      <c r="H2625" s="27" t="s">
        <v>135</v>
      </c>
      <c r="I2625" s="23">
        <f>IF(ISNUMBER(G2625),E2625*G2625,"")</f>
        <v>4.4626249999999992</v>
      </c>
      <c r="J2625" s="28">
        <f>SUM(I2625:I2626)</f>
        <v>4.4626249999999992</v>
      </c>
      <c r="K2625" s="29"/>
      <c r="L2625" s="174">
        <v>0</v>
      </c>
    </row>
    <row r="2626" spans="1:12" ht="39" hidden="1" thickBot="1" x14ac:dyDescent="0.3">
      <c r="A2626" s="181"/>
      <c r="B2626" s="179"/>
      <c r="C2626" s="25" t="s">
        <v>1544</v>
      </c>
      <c r="D2626" s="25" t="s">
        <v>32</v>
      </c>
      <c r="E2626" s="26">
        <v>1</v>
      </c>
      <c r="F2626" s="27" t="s">
        <v>17</v>
      </c>
      <c r="G2626" s="19" t="s">
        <v>1079</v>
      </c>
      <c r="H2626" s="27" t="s">
        <v>33</v>
      </c>
      <c r="I2626" s="23" t="str">
        <f>IF(ISNUMBER(G2626),E2626*G2626,"")</f>
        <v/>
      </c>
      <c r="J2626" s="24"/>
      <c r="K2626" s="19"/>
      <c r="L2626" s="174">
        <v>0</v>
      </c>
    </row>
    <row r="2627" spans="1:12" ht="15.75" hidden="1" thickBot="1" x14ac:dyDescent="0.3">
      <c r="A2627" s="182"/>
      <c r="B2627" s="183"/>
      <c r="C2627" s="25"/>
      <c r="D2627" s="25"/>
      <c r="E2627" s="26"/>
      <c r="F2627" s="27"/>
      <c r="G2627" s="19" t="s">
        <v>1079</v>
      </c>
      <c r="H2627" s="27"/>
      <c r="I2627" s="23" t="str">
        <f>IF(ISNUMBER(G2627),E2627*G2627,"")</f>
        <v/>
      </c>
      <c r="J2627" s="24"/>
      <c r="K2627" s="19"/>
      <c r="L2627" s="174">
        <v>0</v>
      </c>
    </row>
    <row r="2628" spans="1:12" ht="15.75" hidden="1" thickBot="1" x14ac:dyDescent="0.3">
      <c r="A2628" s="180" t="s">
        <v>1545</v>
      </c>
      <c r="B2628" s="178" t="str">
        <f>INDEX(Orçamentária!A:B,MATCH(Composições!A2628,Orçamentária!A:A,0),2)</f>
        <v>Contra fechadura, com furo, para porta com furo</v>
      </c>
      <c r="C2628" s="30"/>
      <c r="D2628" s="13" t="str">
        <f>TRIM(INDEX(Orçamentária!C:C,MATCH(Composições!A2628,Orçamentária!A:A,0),1))</f>
        <v>un</v>
      </c>
      <c r="E2628" s="14"/>
      <c r="F2628" s="15" t="s">
        <v>17</v>
      </c>
      <c r="G2628" s="31" t="s">
        <v>1079</v>
      </c>
      <c r="H2628" s="16"/>
      <c r="I2628" s="16" t="str">
        <f>IF(ISNUMBER(G2628),E2628*G2628,"")</f>
        <v/>
      </c>
      <c r="J2628" s="17"/>
      <c r="K2628" s="18"/>
      <c r="L2628" s="174">
        <v>0</v>
      </c>
    </row>
    <row r="2629" spans="1:12" ht="15.75" hidden="1" thickBot="1" x14ac:dyDescent="0.3">
      <c r="A2629" s="181"/>
      <c r="B2629" s="179"/>
      <c r="C2629" s="20"/>
      <c r="D2629" s="20"/>
      <c r="E2629" s="21"/>
      <c r="F2629" s="43"/>
      <c r="G2629" s="32" t="s">
        <v>1079</v>
      </c>
      <c r="H2629" s="20"/>
      <c r="I2629" s="23" t="str">
        <f>IF(ISNUMBER(G2629),E2629*G2629,"")</f>
        <v/>
      </c>
      <c r="J2629" s="24"/>
      <c r="K2629" s="19"/>
      <c r="L2629" s="174">
        <v>0</v>
      </c>
    </row>
    <row r="2630" spans="1:12" ht="15.75" hidden="1" thickBot="1" x14ac:dyDescent="0.3">
      <c r="A2630" s="181"/>
      <c r="B2630" s="179"/>
      <c r="C2630" s="25" t="s">
        <v>134</v>
      </c>
      <c r="D2630" s="25" t="s">
        <v>21</v>
      </c>
      <c r="E2630" s="26">
        <v>0.25</v>
      </c>
      <c r="F2630" s="27" t="s">
        <v>17</v>
      </c>
      <c r="G2630" s="23">
        <v>17.850499999999997</v>
      </c>
      <c r="H2630" s="27" t="s">
        <v>135</v>
      </c>
      <c r="I2630" s="23">
        <f>IF(ISNUMBER(G2630),E2630*G2630,"")</f>
        <v>4.4626249999999992</v>
      </c>
      <c r="J2630" s="28">
        <f>SUM(I2630:I2631)</f>
        <v>4.4626249999999992</v>
      </c>
      <c r="K2630" s="29"/>
      <c r="L2630" s="174">
        <v>0</v>
      </c>
    </row>
    <row r="2631" spans="1:12" ht="39" hidden="1" thickBot="1" x14ac:dyDescent="0.3">
      <c r="A2631" s="181"/>
      <c r="B2631" s="179"/>
      <c r="C2631" s="25" t="s">
        <v>1546</v>
      </c>
      <c r="D2631" s="25" t="s">
        <v>32</v>
      </c>
      <c r="E2631" s="26">
        <v>1</v>
      </c>
      <c r="F2631" s="27" t="s">
        <v>17</v>
      </c>
      <c r="G2631" s="19" t="s">
        <v>1079</v>
      </c>
      <c r="H2631" s="27" t="s">
        <v>33</v>
      </c>
      <c r="I2631" s="23" t="str">
        <f>IF(ISNUMBER(G2631),E2631*G2631,"")</f>
        <v/>
      </c>
      <c r="J2631" s="24"/>
      <c r="K2631" s="19"/>
      <c r="L2631" s="174">
        <v>0</v>
      </c>
    </row>
    <row r="2632" spans="1:12" ht="15.75" hidden="1" thickBot="1" x14ac:dyDescent="0.3">
      <c r="A2632" s="182"/>
      <c r="B2632" s="183"/>
      <c r="C2632" s="25"/>
      <c r="D2632" s="25"/>
      <c r="E2632" s="26"/>
      <c r="F2632" s="27"/>
      <c r="G2632" s="19" t="s">
        <v>1079</v>
      </c>
      <c r="H2632" s="27"/>
      <c r="I2632" s="23" t="str">
        <f>IF(ISNUMBER(G2632),E2632*G2632,"")</f>
        <v/>
      </c>
      <c r="J2632" s="24"/>
      <c r="K2632" s="19"/>
      <c r="L2632" s="174">
        <v>0</v>
      </c>
    </row>
    <row r="2633" spans="1:12" ht="15.75" hidden="1" thickBot="1" x14ac:dyDescent="0.3">
      <c r="A2633" s="180" t="s">
        <v>1547</v>
      </c>
      <c r="B2633" s="178" t="str">
        <f>INDEX(Orçamentária!A:B,MATCH(Composições!A2633,Orçamentária!A:A,0),2)</f>
        <v>Trinco inferior, com miolo, para porta de vidro temperado</v>
      </c>
      <c r="C2633" s="30"/>
      <c r="D2633" s="13" t="str">
        <f>TRIM(INDEX(Orçamentária!C:C,MATCH(Composições!A2633,Orçamentária!A:A,0),1))</f>
        <v>un</v>
      </c>
      <c r="E2633" s="14"/>
      <c r="F2633" s="15" t="s">
        <v>17</v>
      </c>
      <c r="G2633" s="31" t="s">
        <v>1079</v>
      </c>
      <c r="H2633" s="16"/>
      <c r="I2633" s="16" t="str">
        <f>IF(ISNUMBER(G2633),E2633*G2633,"")</f>
        <v/>
      </c>
      <c r="J2633" s="17"/>
      <c r="K2633" s="18"/>
      <c r="L2633" s="174">
        <v>0</v>
      </c>
    </row>
    <row r="2634" spans="1:12" ht="15.75" hidden="1" thickBot="1" x14ac:dyDescent="0.3">
      <c r="A2634" s="181"/>
      <c r="B2634" s="179"/>
      <c r="C2634" s="20"/>
      <c r="D2634" s="20"/>
      <c r="E2634" s="21"/>
      <c r="F2634" s="43"/>
      <c r="G2634" s="32" t="s">
        <v>1079</v>
      </c>
      <c r="H2634" s="20"/>
      <c r="I2634" s="23" t="str">
        <f>IF(ISNUMBER(G2634),E2634*G2634,"")</f>
        <v/>
      </c>
      <c r="J2634" s="24"/>
      <c r="K2634" s="19"/>
      <c r="L2634" s="174">
        <v>0</v>
      </c>
    </row>
    <row r="2635" spans="1:12" ht="15.75" hidden="1" thickBot="1" x14ac:dyDescent="0.3">
      <c r="A2635" s="181"/>
      <c r="B2635" s="179"/>
      <c r="C2635" s="25" t="s">
        <v>134</v>
      </c>
      <c r="D2635" s="25" t="s">
        <v>21</v>
      </c>
      <c r="E2635" s="26">
        <v>0.25</v>
      </c>
      <c r="F2635" s="27" t="s">
        <v>17</v>
      </c>
      <c r="G2635" s="23">
        <v>17.850499999999997</v>
      </c>
      <c r="H2635" s="27" t="s">
        <v>135</v>
      </c>
      <c r="I2635" s="23">
        <f>IF(ISNUMBER(G2635),E2635*G2635,"")</f>
        <v>4.4626249999999992</v>
      </c>
      <c r="J2635" s="28">
        <f>SUM(I2635:I2636)</f>
        <v>5.4126249999999994</v>
      </c>
      <c r="K2635" s="29"/>
      <c r="L2635" s="174">
        <v>0</v>
      </c>
    </row>
    <row r="2636" spans="1:12" ht="26.25" hidden="1" thickBot="1" x14ac:dyDescent="0.3">
      <c r="A2636" s="181"/>
      <c r="B2636" s="179"/>
      <c r="C2636" s="25" t="s">
        <v>1548</v>
      </c>
      <c r="D2636" s="25" t="s">
        <v>32</v>
      </c>
      <c r="E2636" s="26">
        <v>1</v>
      </c>
      <c r="F2636" s="27" t="s">
        <v>17</v>
      </c>
      <c r="G2636" s="19">
        <v>0.95</v>
      </c>
      <c r="H2636" s="27" t="s">
        <v>4596</v>
      </c>
      <c r="I2636" s="23">
        <f>IF(ISNUMBER(G2636),E2636*G2636,"")</f>
        <v>0.95</v>
      </c>
      <c r="J2636" s="24"/>
      <c r="K2636" s="19"/>
      <c r="L2636" s="174">
        <v>0</v>
      </c>
    </row>
    <row r="2637" spans="1:12" ht="15.75" hidden="1" thickBot="1" x14ac:dyDescent="0.3">
      <c r="A2637" s="182"/>
      <c r="B2637" s="183"/>
      <c r="C2637" s="25"/>
      <c r="D2637" s="25"/>
      <c r="E2637" s="26"/>
      <c r="F2637" s="27"/>
      <c r="G2637" s="19" t="s">
        <v>1079</v>
      </c>
      <c r="H2637" s="27"/>
      <c r="I2637" s="23" t="str">
        <f>IF(ISNUMBER(G2637),E2637*G2637,"")</f>
        <v/>
      </c>
      <c r="J2637" s="24"/>
      <c r="K2637" s="19"/>
      <c r="L2637" s="174">
        <v>0</v>
      </c>
    </row>
    <row r="2638" spans="1:12" ht="15.75" hidden="1" thickBot="1" x14ac:dyDescent="0.3">
      <c r="A2638" s="180" t="s">
        <v>1549</v>
      </c>
      <c r="B2638" s="178" t="str">
        <f>INDEX(Orçamentária!A:B,MATCH(Composições!A2638,Orçamentária!A:A,0),2)</f>
        <v>Mola hidráulica BTS 75R</v>
      </c>
      <c r="C2638" s="30"/>
      <c r="D2638" s="13" t="str">
        <f>TRIM(INDEX(Orçamentária!C:C,MATCH(Composições!A2638,Orçamentária!A:A,0),1))</f>
        <v>un</v>
      </c>
      <c r="E2638" s="14"/>
      <c r="F2638" s="15" t="s">
        <v>1550</v>
      </c>
      <c r="G2638" s="31" t="s">
        <v>1079</v>
      </c>
      <c r="H2638" s="16"/>
      <c r="I2638" s="16" t="str">
        <f>IF(ISNUMBER(G2638),E2638*G2638,"")</f>
        <v/>
      </c>
      <c r="J2638" s="17"/>
      <c r="K2638" s="18"/>
      <c r="L2638" s="174">
        <v>0</v>
      </c>
    </row>
    <row r="2639" spans="1:12" ht="15.75" hidden="1" thickBot="1" x14ac:dyDescent="0.3">
      <c r="A2639" s="181"/>
      <c r="B2639" s="179"/>
      <c r="C2639" s="20"/>
      <c r="D2639" s="20"/>
      <c r="E2639" s="21"/>
      <c r="F2639" s="43"/>
      <c r="G2639" s="32" t="s">
        <v>1079</v>
      </c>
      <c r="H2639" s="20"/>
      <c r="I2639" s="23" t="str">
        <f>IF(ISNUMBER(G2639),E2639*G2639,"")</f>
        <v/>
      </c>
      <c r="J2639" s="24"/>
      <c r="K2639" s="19"/>
      <c r="L2639" s="174">
        <v>0</v>
      </c>
    </row>
    <row r="2640" spans="1:12" ht="15.75" hidden="1" thickBot="1" x14ac:dyDescent="0.3">
      <c r="A2640" s="181"/>
      <c r="B2640" s="179"/>
      <c r="C2640" s="25" t="s">
        <v>134</v>
      </c>
      <c r="D2640" s="25" t="s">
        <v>21</v>
      </c>
      <c r="E2640" s="26">
        <v>0.75</v>
      </c>
      <c r="F2640" s="27" t="s">
        <v>635</v>
      </c>
      <c r="G2640" s="23">
        <v>17.850499999999997</v>
      </c>
      <c r="H2640" s="27" t="s">
        <v>135</v>
      </c>
      <c r="I2640" s="23">
        <f>IF(ISNUMBER(G2640),E2640*G2640,"")</f>
        <v>13.387874999999998</v>
      </c>
      <c r="J2640" s="28">
        <f>SUM(I2640:I2645)</f>
        <v>37.493630999999993</v>
      </c>
      <c r="K2640" s="29"/>
      <c r="L2640" s="174">
        <v>0</v>
      </c>
    </row>
    <row r="2641" spans="1:12" ht="15.75" hidden="1" thickBot="1" x14ac:dyDescent="0.3">
      <c r="A2641" s="181"/>
      <c r="B2641" s="179"/>
      <c r="C2641" s="25" t="s">
        <v>38</v>
      </c>
      <c r="D2641" s="25" t="s">
        <v>21</v>
      </c>
      <c r="E2641" s="26">
        <v>0.3</v>
      </c>
      <c r="F2641" s="27" t="s">
        <v>635</v>
      </c>
      <c r="G2641" s="19">
        <v>14.325999999999999</v>
      </c>
      <c r="H2641" s="27" t="s">
        <v>39</v>
      </c>
      <c r="I2641" s="23">
        <f>IF(ISNUMBER(G2641),E2641*G2641,"")</f>
        <v>4.2977999999999996</v>
      </c>
      <c r="J2641" s="24"/>
      <c r="K2641" s="19"/>
      <c r="L2641" s="174">
        <v>0</v>
      </c>
    </row>
    <row r="2642" spans="1:12" ht="15.75" hidden="1" thickBot="1" x14ac:dyDescent="0.3">
      <c r="A2642" s="181"/>
      <c r="B2642" s="179"/>
      <c r="C2642" s="25" t="s">
        <v>637</v>
      </c>
      <c r="D2642" s="25" t="s">
        <v>32</v>
      </c>
      <c r="E2642" s="26">
        <v>1</v>
      </c>
      <c r="F2642" s="27" t="s">
        <v>17</v>
      </c>
      <c r="G2642" s="19" t="s">
        <v>1079</v>
      </c>
      <c r="H2642" s="27" t="s">
        <v>33</v>
      </c>
      <c r="I2642" s="19" t="str">
        <f>IF(ISNUMBER(G2642),E2642*G2642,"")</f>
        <v/>
      </c>
      <c r="J2642" s="24"/>
      <c r="K2642" s="19"/>
      <c r="L2642" s="174">
        <v>0</v>
      </c>
    </row>
    <row r="2643" spans="1:12" ht="39" hidden="1" thickBot="1" x14ac:dyDescent="0.3">
      <c r="A2643" s="181"/>
      <c r="B2643" s="179"/>
      <c r="C2643" s="25" t="s">
        <v>636</v>
      </c>
      <c r="D2643" s="25" t="s">
        <v>32</v>
      </c>
      <c r="E2643" s="26">
        <v>1</v>
      </c>
      <c r="F2643" s="27" t="s">
        <v>635</v>
      </c>
      <c r="G2643" s="19" t="s">
        <v>1079</v>
      </c>
      <c r="H2643" s="27" t="s">
        <v>33</v>
      </c>
      <c r="I2643" s="23" t="str">
        <f>IF(ISNUMBER(G2643),E2643*G2643,"")</f>
        <v/>
      </c>
      <c r="J2643" s="24"/>
      <c r="K2643" s="19"/>
      <c r="L2643" s="174">
        <v>0</v>
      </c>
    </row>
    <row r="2644" spans="1:12" ht="15.75" hidden="1" thickBot="1" x14ac:dyDescent="0.3">
      <c r="A2644" s="181"/>
      <c r="B2644" s="179"/>
      <c r="C2644" s="25" t="s">
        <v>134</v>
      </c>
      <c r="D2644" s="25" t="s">
        <v>21</v>
      </c>
      <c r="E2644" s="26">
        <f>0.5*2.1*0.8</f>
        <v>0.84000000000000008</v>
      </c>
      <c r="F2644" s="27" t="s">
        <v>1551</v>
      </c>
      <c r="G2644" s="23">
        <v>17.850499999999997</v>
      </c>
      <c r="H2644" s="27" t="s">
        <v>135</v>
      </c>
      <c r="I2644" s="23">
        <f>IF(ISNUMBER(G2644),E2644*G2644,"")</f>
        <v>14.994419999999998</v>
      </c>
      <c r="J2644" s="24"/>
      <c r="K2644" s="19"/>
      <c r="L2644" s="174">
        <v>0</v>
      </c>
    </row>
    <row r="2645" spans="1:12" ht="15.75" hidden="1" thickBot="1" x14ac:dyDescent="0.3">
      <c r="A2645" s="181"/>
      <c r="B2645" s="179"/>
      <c r="C2645" s="25" t="s">
        <v>38</v>
      </c>
      <c r="D2645" s="25" t="s">
        <v>21</v>
      </c>
      <c r="E2645" s="26">
        <f>0.2*2.1*0.8</f>
        <v>0.33600000000000008</v>
      </c>
      <c r="F2645" s="27" t="s">
        <v>1551</v>
      </c>
      <c r="G2645" s="19">
        <v>14.325999999999999</v>
      </c>
      <c r="H2645" s="27" t="s">
        <v>39</v>
      </c>
      <c r="I2645" s="23">
        <f>IF(ISNUMBER(G2645),E2645*G2645,"")</f>
        <v>4.8135360000000009</v>
      </c>
      <c r="J2645" s="24"/>
      <c r="K2645" s="19"/>
      <c r="L2645" s="174">
        <v>0</v>
      </c>
    </row>
    <row r="2646" spans="1:12" ht="15.75" hidden="1" thickBot="1" x14ac:dyDescent="0.3">
      <c r="A2646" s="181"/>
      <c r="B2646" s="179"/>
      <c r="C2646" s="25"/>
      <c r="D2646" s="25"/>
      <c r="E2646" s="26"/>
      <c r="F2646" s="27"/>
      <c r="G2646" s="19" t="s">
        <v>1079</v>
      </c>
      <c r="H2646" s="27"/>
      <c r="I2646" s="23" t="str">
        <f>IF(ISNUMBER(G2646),E2646*G2646,"")</f>
        <v/>
      </c>
      <c r="J2646" s="24"/>
      <c r="K2646" s="19"/>
      <c r="L2646" s="174">
        <v>0</v>
      </c>
    </row>
    <row r="2647" spans="1:12" ht="15.75" hidden="1" thickBot="1" x14ac:dyDescent="0.3">
      <c r="A2647" s="181"/>
      <c r="B2647" s="179"/>
      <c r="C2647" s="39" t="s">
        <v>1552</v>
      </c>
      <c r="D2647" s="25"/>
      <c r="E2647" s="26"/>
      <c r="F2647" s="27"/>
      <c r="G2647" s="19" t="s">
        <v>1079</v>
      </c>
      <c r="H2647" s="27"/>
      <c r="I2647" s="23" t="str">
        <f>IF(ISNUMBER(G2647),E2647*G2647,"")</f>
        <v/>
      </c>
      <c r="J2647" s="24"/>
      <c r="K2647" s="19"/>
      <c r="L2647" s="174">
        <v>0</v>
      </c>
    </row>
    <row r="2648" spans="1:12" ht="15.75" hidden="1" thickBot="1" x14ac:dyDescent="0.3">
      <c r="A2648" s="182"/>
      <c r="B2648" s="183"/>
      <c r="C2648" s="25"/>
      <c r="D2648" s="25"/>
      <c r="E2648" s="26"/>
      <c r="F2648" s="27"/>
      <c r="G2648" s="19" t="s">
        <v>1079</v>
      </c>
      <c r="H2648" s="27"/>
      <c r="I2648" s="23" t="str">
        <f>IF(ISNUMBER(G2648),E2648*G2648,"")</f>
        <v/>
      </c>
      <c r="J2648" s="24"/>
      <c r="K2648" s="19"/>
      <c r="L2648" s="174">
        <v>0</v>
      </c>
    </row>
    <row r="2649" spans="1:12" ht="15.75" hidden="1" thickBot="1" x14ac:dyDescent="0.3">
      <c r="A2649" s="180" t="s">
        <v>1553</v>
      </c>
      <c r="B2649" s="178" t="str">
        <f>INDEX(Orçamentária!A:B,MATCH(Composições!A2649,Orçamentária!A:A,0),2)</f>
        <v>Puxador redondo, padrão em poliéster, para porta de vidro temperado</v>
      </c>
      <c r="C2649" s="30"/>
      <c r="D2649" s="13" t="str">
        <f>TRIM(INDEX(Orçamentária!C:C,MATCH(Composições!A2649,Orçamentária!A:A,0),1))</f>
        <v>un</v>
      </c>
      <c r="E2649" s="14"/>
      <c r="F2649" s="15" t="s">
        <v>17</v>
      </c>
      <c r="G2649" s="31" t="s">
        <v>1079</v>
      </c>
      <c r="H2649" s="16"/>
      <c r="I2649" s="16" t="str">
        <f>IF(ISNUMBER(G2649),E2649*G2649,"")</f>
        <v/>
      </c>
      <c r="J2649" s="17"/>
      <c r="K2649" s="18"/>
      <c r="L2649" s="174">
        <v>0</v>
      </c>
    </row>
    <row r="2650" spans="1:12" ht="15.75" hidden="1" thickBot="1" x14ac:dyDescent="0.3">
      <c r="A2650" s="181"/>
      <c r="B2650" s="179"/>
      <c r="C2650" s="20"/>
      <c r="D2650" s="20"/>
      <c r="E2650" s="21"/>
      <c r="F2650" s="43"/>
      <c r="G2650" s="32" t="s">
        <v>1079</v>
      </c>
      <c r="H2650" s="20"/>
      <c r="I2650" s="23" t="str">
        <f>IF(ISNUMBER(G2650),E2650*G2650,"")</f>
        <v/>
      </c>
      <c r="J2650" s="24"/>
      <c r="K2650" s="19"/>
      <c r="L2650" s="174">
        <v>0</v>
      </c>
    </row>
    <row r="2651" spans="1:12" ht="15.75" hidden="1" thickBot="1" x14ac:dyDescent="0.3">
      <c r="A2651" s="181"/>
      <c r="B2651" s="179"/>
      <c r="C2651" s="25" t="s">
        <v>134</v>
      </c>
      <c r="D2651" s="25" t="s">
        <v>21</v>
      </c>
      <c r="E2651" s="26">
        <v>0.2</v>
      </c>
      <c r="F2651" s="27" t="s">
        <v>17</v>
      </c>
      <c r="G2651" s="23">
        <v>17.850499999999997</v>
      </c>
      <c r="H2651" s="27" t="s">
        <v>135</v>
      </c>
      <c r="I2651" s="23">
        <f>IF(ISNUMBER(G2651),E2651*G2651,"")</f>
        <v>3.5700999999999996</v>
      </c>
      <c r="J2651" s="28">
        <f>SUM(I2651:I2652)</f>
        <v>3.5700999999999996</v>
      </c>
      <c r="K2651" s="29"/>
      <c r="L2651" s="174">
        <v>0</v>
      </c>
    </row>
    <row r="2652" spans="1:12" ht="39" hidden="1" thickBot="1" x14ac:dyDescent="0.3">
      <c r="A2652" s="181"/>
      <c r="B2652" s="179"/>
      <c r="C2652" s="25" t="s">
        <v>1554</v>
      </c>
      <c r="D2652" s="25" t="s">
        <v>32</v>
      </c>
      <c r="E2652" s="26">
        <v>1</v>
      </c>
      <c r="F2652" s="27" t="s">
        <v>17</v>
      </c>
      <c r="G2652" s="19" t="s">
        <v>1079</v>
      </c>
      <c r="H2652" s="27" t="s">
        <v>33</v>
      </c>
      <c r="I2652" s="23" t="str">
        <f>IF(ISNUMBER(G2652),E2652*G2652,"")</f>
        <v/>
      </c>
      <c r="J2652" s="24"/>
      <c r="K2652" s="19"/>
      <c r="L2652" s="174">
        <v>0</v>
      </c>
    </row>
    <row r="2653" spans="1:12" ht="15.75" hidden="1" thickBot="1" x14ac:dyDescent="0.3">
      <c r="A2653" s="182"/>
      <c r="B2653" s="183"/>
      <c r="C2653" s="25"/>
      <c r="D2653" s="25"/>
      <c r="E2653" s="26"/>
      <c r="F2653" s="27"/>
      <c r="G2653" s="19" t="s">
        <v>1079</v>
      </c>
      <c r="H2653" s="27"/>
      <c r="I2653" s="23" t="str">
        <f>IF(ISNUMBER(G2653),E2653*G2653,"")</f>
        <v/>
      </c>
      <c r="J2653" s="24"/>
      <c r="K2653" s="19"/>
      <c r="L2653" s="174">
        <v>0</v>
      </c>
    </row>
    <row r="2654" spans="1:12" ht="15.75" hidden="1" thickBot="1" x14ac:dyDescent="0.3">
      <c r="A2654" s="180" t="s">
        <v>1555</v>
      </c>
      <c r="B2654" s="178" t="str">
        <f>INDEX(Orçamentária!A:B,MATCH(Composições!A2654,Orçamentária!A:A,0),2)</f>
        <v>Puxador em aço inox sob medida – Tipo A</v>
      </c>
      <c r="C2654" s="30"/>
      <c r="D2654" s="13" t="str">
        <f>TRIM(INDEX(Orçamentária!C:C,MATCH(Composições!A2654,Orçamentária!A:A,0),1))</f>
        <v>un</v>
      </c>
      <c r="E2654" s="14"/>
      <c r="F2654" s="15" t="s">
        <v>17</v>
      </c>
      <c r="G2654" s="31" t="s">
        <v>1079</v>
      </c>
      <c r="H2654" s="16"/>
      <c r="I2654" s="16" t="str">
        <f>IF(ISNUMBER(G2654),E2654*G2654,"")</f>
        <v/>
      </c>
      <c r="J2654" s="17"/>
      <c r="K2654" s="18"/>
      <c r="L2654" s="174">
        <v>0</v>
      </c>
    </row>
    <row r="2655" spans="1:12" ht="15.75" hidden="1" thickBot="1" x14ac:dyDescent="0.3">
      <c r="A2655" s="181"/>
      <c r="B2655" s="179"/>
      <c r="C2655" s="20"/>
      <c r="D2655" s="20"/>
      <c r="E2655" s="21"/>
      <c r="F2655" s="43"/>
      <c r="G2655" s="32" t="s">
        <v>1079</v>
      </c>
      <c r="H2655" s="20"/>
      <c r="I2655" s="23" t="str">
        <f>IF(ISNUMBER(G2655),E2655*G2655,"")</f>
        <v/>
      </c>
      <c r="J2655" s="24"/>
      <c r="K2655" s="19"/>
      <c r="L2655" s="174">
        <v>0</v>
      </c>
    </row>
    <row r="2656" spans="1:12" ht="15.75" hidden="1" thickBot="1" x14ac:dyDescent="0.3">
      <c r="A2656" s="181"/>
      <c r="B2656" s="179"/>
      <c r="C2656" s="25" t="s">
        <v>134</v>
      </c>
      <c r="D2656" s="36" t="s">
        <v>21</v>
      </c>
      <c r="E2656" s="26">
        <v>0.4</v>
      </c>
      <c r="F2656" s="27" t="s">
        <v>17</v>
      </c>
      <c r="G2656" s="23">
        <v>17.850499999999997</v>
      </c>
      <c r="H2656" s="27" t="s">
        <v>135</v>
      </c>
      <c r="I2656" s="23">
        <f>IF(ISNUMBER(G2656),E2656*G2656,"")</f>
        <v>7.1401999999999992</v>
      </c>
      <c r="J2656" s="28">
        <f>SUM(I2656:I2657)</f>
        <v>7.1401999999999992</v>
      </c>
      <c r="K2656" s="29"/>
      <c r="L2656" s="174">
        <v>0</v>
      </c>
    </row>
    <row r="2657" spans="1:12" ht="15.75" hidden="1" thickBot="1" x14ac:dyDescent="0.3">
      <c r="A2657" s="181"/>
      <c r="B2657" s="179"/>
      <c r="C2657" s="25" t="s">
        <v>1556</v>
      </c>
      <c r="D2657" s="36" t="s">
        <v>32</v>
      </c>
      <c r="E2657" s="26">
        <v>1</v>
      </c>
      <c r="F2657" s="27" t="s">
        <v>17</v>
      </c>
      <c r="G2657" s="19" t="s">
        <v>1079</v>
      </c>
      <c r="H2657" s="27" t="s">
        <v>33</v>
      </c>
      <c r="I2657" s="23" t="str">
        <f>IF(ISNUMBER(G2657),E2657*G2657,"")</f>
        <v/>
      </c>
      <c r="J2657" s="24"/>
      <c r="K2657" s="19"/>
      <c r="L2657" s="174">
        <v>0</v>
      </c>
    </row>
    <row r="2658" spans="1:12" ht="15.75" hidden="1" thickBot="1" x14ac:dyDescent="0.3">
      <c r="A2658" s="182"/>
      <c r="B2658" s="183"/>
      <c r="C2658" s="25"/>
      <c r="D2658" s="25"/>
      <c r="E2658" s="26"/>
      <c r="F2658" s="27"/>
      <c r="G2658" s="19" t="s">
        <v>1079</v>
      </c>
      <c r="H2658" s="27"/>
      <c r="I2658" s="23" t="str">
        <f>IF(ISNUMBER(G2658),E2658*G2658,"")</f>
        <v/>
      </c>
      <c r="J2658" s="24"/>
      <c r="K2658" s="19"/>
      <c r="L2658" s="174">
        <v>0</v>
      </c>
    </row>
    <row r="2659" spans="1:12" ht="15.75" hidden="1" thickBot="1" x14ac:dyDescent="0.3">
      <c r="A2659" s="180" t="s">
        <v>1557</v>
      </c>
      <c r="B2659" s="178" t="str">
        <f>INDEX(Orçamentária!A:B,MATCH(Composições!A2659,Orçamentária!A:A,0),2)</f>
        <v>Dobradiça superior para porta de vidro temperado</v>
      </c>
      <c r="C2659" s="30"/>
      <c r="D2659" s="13" t="str">
        <f>TRIM(INDEX(Orçamentária!C:C,MATCH(Composições!A2659,Orçamentária!A:A,0),1))</f>
        <v>un</v>
      </c>
      <c r="E2659" s="14"/>
      <c r="F2659" s="15" t="s">
        <v>17</v>
      </c>
      <c r="G2659" s="31" t="s">
        <v>1079</v>
      </c>
      <c r="H2659" s="16"/>
      <c r="I2659" s="16" t="str">
        <f>IF(ISNUMBER(G2659),E2659*G2659,"")</f>
        <v/>
      </c>
      <c r="J2659" s="17"/>
      <c r="K2659" s="18"/>
      <c r="L2659" s="174">
        <v>0</v>
      </c>
    </row>
    <row r="2660" spans="1:12" ht="15.75" hidden="1" thickBot="1" x14ac:dyDescent="0.3">
      <c r="A2660" s="181"/>
      <c r="B2660" s="179"/>
      <c r="C2660" s="20"/>
      <c r="D2660" s="20"/>
      <c r="E2660" s="21"/>
      <c r="F2660" s="43"/>
      <c r="G2660" s="32" t="s">
        <v>1079</v>
      </c>
      <c r="H2660" s="20"/>
      <c r="I2660" s="23" t="str">
        <f>IF(ISNUMBER(G2660),E2660*G2660,"")</f>
        <v/>
      </c>
      <c r="J2660" s="24"/>
      <c r="K2660" s="19"/>
      <c r="L2660" s="174">
        <v>0</v>
      </c>
    </row>
    <row r="2661" spans="1:12" ht="15.75" hidden="1" thickBot="1" x14ac:dyDescent="0.3">
      <c r="A2661" s="181"/>
      <c r="B2661" s="179"/>
      <c r="C2661" s="25" t="s">
        <v>134</v>
      </c>
      <c r="D2661" s="25" t="s">
        <v>21</v>
      </c>
      <c r="E2661" s="26">
        <v>0.3</v>
      </c>
      <c r="F2661" s="27" t="s">
        <v>17</v>
      </c>
      <c r="G2661" s="23">
        <v>17.850499999999997</v>
      </c>
      <c r="H2661" s="27" t="s">
        <v>135</v>
      </c>
      <c r="I2661" s="23">
        <f>IF(ISNUMBER(G2661),E2661*G2661,"")</f>
        <v>5.3551499999999992</v>
      </c>
      <c r="J2661" s="28">
        <f>SUM(I2661:I2662)</f>
        <v>6.3051499999999994</v>
      </c>
      <c r="K2661" s="29"/>
      <c r="L2661" s="174">
        <v>0</v>
      </c>
    </row>
    <row r="2662" spans="1:12" ht="26.25" hidden="1" thickBot="1" x14ac:dyDescent="0.3">
      <c r="A2662" s="181"/>
      <c r="B2662" s="179"/>
      <c r="C2662" s="25" t="s">
        <v>1558</v>
      </c>
      <c r="D2662" s="36" t="s">
        <v>32</v>
      </c>
      <c r="E2662" s="26">
        <v>1</v>
      </c>
      <c r="F2662" s="27" t="s">
        <v>17</v>
      </c>
      <c r="G2662" s="19">
        <v>0.95</v>
      </c>
      <c r="H2662" s="27" t="s">
        <v>4596</v>
      </c>
      <c r="I2662" s="23">
        <f>IF(ISNUMBER(G2662),E2662*G2662,"")</f>
        <v>0.95</v>
      </c>
      <c r="J2662" s="24"/>
      <c r="K2662" s="19"/>
      <c r="L2662" s="174">
        <v>0</v>
      </c>
    </row>
    <row r="2663" spans="1:12" ht="15.75" hidden="1" thickBot="1" x14ac:dyDescent="0.3">
      <c r="A2663" s="182"/>
      <c r="B2663" s="183"/>
      <c r="C2663" s="25"/>
      <c r="D2663" s="25"/>
      <c r="E2663" s="26"/>
      <c r="F2663" s="27"/>
      <c r="G2663" s="19" t="s">
        <v>1079</v>
      </c>
      <c r="H2663" s="27"/>
      <c r="I2663" s="23" t="str">
        <f>IF(ISNUMBER(G2663),E2663*G2663,"")</f>
        <v/>
      </c>
      <c r="J2663" s="24"/>
      <c r="K2663" s="19"/>
      <c r="L2663" s="174">
        <v>0</v>
      </c>
    </row>
    <row r="2664" spans="1:12" ht="15.75" hidden="1" thickBot="1" x14ac:dyDescent="0.3">
      <c r="A2664" s="180" t="s">
        <v>1559</v>
      </c>
      <c r="B2664" s="178" t="str">
        <f>INDEX(Orçamentária!A:B,MATCH(Composições!A2664,Orçamentária!A:A,0),2)</f>
        <v>Perfil em alumínio, tipo U - abas iguais - PU 5/8" x 5/8" – espessura 1,58mm</v>
      </c>
      <c r="C2664" s="30"/>
      <c r="D2664" s="13" t="str">
        <f>TRIM(INDEX(Orçamentária!C:C,MATCH(Composições!A2664,Orçamentária!A:A,0),1))</f>
        <v>m</v>
      </c>
      <c r="E2664" s="14"/>
      <c r="F2664" s="15" t="str">
        <f>F2666</f>
        <v>Senado Federal</v>
      </c>
      <c r="G2664" s="31" t="s">
        <v>1079</v>
      </c>
      <c r="H2664" s="16"/>
      <c r="I2664" s="16" t="str">
        <f>IF(ISNUMBER(G2664),E2664*G2664,"")</f>
        <v/>
      </c>
      <c r="J2664" s="17"/>
      <c r="K2664" s="18"/>
      <c r="L2664" s="174">
        <v>0</v>
      </c>
    </row>
    <row r="2665" spans="1:12" ht="15.75" hidden="1" thickBot="1" x14ac:dyDescent="0.3">
      <c r="A2665" s="181"/>
      <c r="B2665" s="179"/>
      <c r="C2665" s="20"/>
      <c r="D2665" s="20"/>
      <c r="E2665" s="21"/>
      <c r="F2665" s="43"/>
      <c r="G2665" s="32" t="s">
        <v>1079</v>
      </c>
      <c r="H2665" s="20"/>
      <c r="I2665" s="23" t="str">
        <f>IF(ISNUMBER(G2665),E2665*G2665,"")</f>
        <v/>
      </c>
      <c r="J2665" s="24"/>
      <c r="K2665" s="19"/>
      <c r="L2665" s="174">
        <v>0</v>
      </c>
    </row>
    <row r="2666" spans="1:12" ht="15.75" hidden="1" thickBot="1" x14ac:dyDescent="0.3">
      <c r="A2666" s="181"/>
      <c r="B2666" s="179"/>
      <c r="C2666" s="25" t="s">
        <v>134</v>
      </c>
      <c r="D2666" s="25" t="s">
        <v>21</v>
      </c>
      <c r="E2666" s="26">
        <v>0.2</v>
      </c>
      <c r="F2666" s="27" t="s">
        <v>17</v>
      </c>
      <c r="G2666" s="23">
        <v>17.850499999999997</v>
      </c>
      <c r="H2666" s="27" t="s">
        <v>135</v>
      </c>
      <c r="I2666" s="23">
        <f>IF(ISNUMBER(G2666),E2666*G2666,"")</f>
        <v>3.5700999999999996</v>
      </c>
      <c r="J2666" s="28">
        <f>SUM(I2666:I2667)</f>
        <v>8.7666949999999986</v>
      </c>
      <c r="K2666" s="29"/>
      <c r="L2666" s="174">
        <v>0</v>
      </c>
    </row>
    <row r="2667" spans="1:12" ht="15.75" hidden="1" thickBot="1" x14ac:dyDescent="0.3">
      <c r="A2667" s="181"/>
      <c r="B2667" s="179"/>
      <c r="C2667" s="25" t="s">
        <v>1560</v>
      </c>
      <c r="D2667" s="25" t="s">
        <v>75</v>
      </c>
      <c r="E2667" s="26">
        <v>0.19</v>
      </c>
      <c r="F2667" s="27" t="s">
        <v>17</v>
      </c>
      <c r="G2667" s="19">
        <v>27.350499999999997</v>
      </c>
      <c r="H2667" s="27" t="s">
        <v>1561</v>
      </c>
      <c r="I2667" s="23">
        <f>IF(ISNUMBER(G2667),E2667*G2667,"")</f>
        <v>5.1965949999999994</v>
      </c>
      <c r="J2667" s="24"/>
      <c r="K2667" s="19"/>
      <c r="L2667" s="174">
        <v>0</v>
      </c>
    </row>
    <row r="2668" spans="1:12" ht="15.75" hidden="1" thickBot="1" x14ac:dyDescent="0.3">
      <c r="A2668" s="181"/>
      <c r="B2668" s="179"/>
      <c r="C2668" s="25"/>
      <c r="D2668" s="25"/>
      <c r="E2668" s="26"/>
      <c r="F2668" s="27"/>
      <c r="G2668" s="19" t="s">
        <v>1079</v>
      </c>
      <c r="H2668" s="27"/>
      <c r="I2668" s="23" t="str">
        <f>IF(ISNUMBER(G2668),E2668*G2668,"")</f>
        <v/>
      </c>
      <c r="J2668" s="24"/>
      <c r="K2668" s="19"/>
      <c r="L2668" s="174">
        <v>0</v>
      </c>
    </row>
    <row r="2669" spans="1:12" ht="26.25" hidden="1" thickBot="1" x14ac:dyDescent="0.3">
      <c r="A2669" s="181"/>
      <c r="B2669" s="179"/>
      <c r="C2669" s="39" t="s">
        <v>1562</v>
      </c>
      <c r="D2669" s="25"/>
      <c r="E2669" s="26"/>
      <c r="F2669" s="27"/>
      <c r="G2669" s="19" t="s">
        <v>1079</v>
      </c>
      <c r="H2669" s="27"/>
      <c r="I2669" s="23" t="str">
        <f>IF(ISNUMBER(G2669),E2669*G2669,"")</f>
        <v/>
      </c>
      <c r="J2669" s="24"/>
      <c r="K2669" s="19"/>
      <c r="L2669" s="174">
        <v>0</v>
      </c>
    </row>
    <row r="2670" spans="1:12" ht="39" hidden="1" thickBot="1" x14ac:dyDescent="0.3">
      <c r="A2670" s="181"/>
      <c r="B2670" s="179"/>
      <c r="C2670" s="44" t="s">
        <v>1563</v>
      </c>
      <c r="D2670" s="59"/>
      <c r="E2670" s="26"/>
      <c r="F2670" s="27"/>
      <c r="G2670" s="19" t="s">
        <v>1079</v>
      </c>
      <c r="H2670" s="27"/>
      <c r="I2670" s="23" t="str">
        <f>IF(ISNUMBER(G2670),E2670*G2670,"")</f>
        <v/>
      </c>
      <c r="J2670" s="24"/>
      <c r="K2670" s="19"/>
      <c r="L2670" s="174">
        <v>0</v>
      </c>
    </row>
    <row r="2671" spans="1:12" ht="15.75" hidden="1" thickBot="1" x14ac:dyDescent="0.3">
      <c r="A2671" s="182"/>
      <c r="B2671" s="183"/>
      <c r="C2671" s="25"/>
      <c r="D2671" s="25"/>
      <c r="E2671" s="26"/>
      <c r="F2671" s="27"/>
      <c r="G2671" s="19" t="s">
        <v>1079</v>
      </c>
      <c r="H2671" s="27"/>
      <c r="I2671" s="23" t="str">
        <f>IF(ISNUMBER(G2671),E2671*G2671,"")</f>
        <v/>
      </c>
      <c r="J2671" s="24"/>
      <c r="K2671" s="19"/>
      <c r="L2671" s="174">
        <v>0</v>
      </c>
    </row>
    <row r="2672" spans="1:12" ht="15.75" hidden="1" thickBot="1" x14ac:dyDescent="0.3">
      <c r="A2672" s="180" t="s">
        <v>1564</v>
      </c>
      <c r="B2672" s="178" t="str">
        <f>INDEX(Orçamentária!A:B,MATCH(Composições!A2672,Orçamentária!A:A,0),2)</f>
        <v>Trilho superior em alumínio 60mm x 49,5mm, para vidro temperado</v>
      </c>
      <c r="C2672" s="30"/>
      <c r="D2672" s="13" t="str">
        <f>TRIM(INDEX(Orçamentária!C:C,MATCH(Composições!A2672,Orçamentária!A:A,0),1))</f>
        <v>m</v>
      </c>
      <c r="E2672" s="14"/>
      <c r="F2672" s="15" t="str">
        <f>F2674</f>
        <v>Senado Federal</v>
      </c>
      <c r="G2672" s="31" t="s">
        <v>1079</v>
      </c>
      <c r="H2672" s="16"/>
      <c r="I2672" s="16" t="str">
        <f>IF(ISNUMBER(G2672),E2672*G2672,"")</f>
        <v/>
      </c>
      <c r="J2672" s="17"/>
      <c r="K2672" s="18"/>
      <c r="L2672" s="174">
        <v>0</v>
      </c>
    </row>
    <row r="2673" spans="1:12" ht="15.75" hidden="1" thickBot="1" x14ac:dyDescent="0.3">
      <c r="A2673" s="186"/>
      <c r="B2673" s="179"/>
      <c r="C2673" s="20"/>
      <c r="D2673" s="20"/>
      <c r="E2673" s="21"/>
      <c r="F2673" s="43"/>
      <c r="G2673" s="32" t="s">
        <v>1079</v>
      </c>
      <c r="H2673" s="20"/>
      <c r="I2673" s="23" t="str">
        <f>IF(ISNUMBER(G2673),E2673*G2673,"")</f>
        <v/>
      </c>
      <c r="J2673" s="24"/>
      <c r="K2673" s="19"/>
      <c r="L2673" s="174">
        <v>0</v>
      </c>
    </row>
    <row r="2674" spans="1:12" ht="15.75" hidden="1" thickBot="1" x14ac:dyDescent="0.3">
      <c r="A2674" s="186"/>
      <c r="B2674" s="179"/>
      <c r="C2674" s="25" t="s">
        <v>134</v>
      </c>
      <c r="D2674" s="25" t="s">
        <v>21</v>
      </c>
      <c r="E2674" s="26">
        <v>0.3</v>
      </c>
      <c r="F2674" s="27" t="s">
        <v>17</v>
      </c>
      <c r="G2674" s="23">
        <v>17.850499999999997</v>
      </c>
      <c r="H2674" s="27" t="s">
        <v>135</v>
      </c>
      <c r="I2674" s="23">
        <f>IF(ISNUMBER(G2674),E2674*G2674,"")</f>
        <v>5.3551499999999992</v>
      </c>
      <c r="J2674" s="28">
        <f>SUM(I2674:I2675)</f>
        <v>26.497086499999995</v>
      </c>
      <c r="K2674" s="29"/>
      <c r="L2674" s="174">
        <v>0</v>
      </c>
    </row>
    <row r="2675" spans="1:12" ht="15.75" hidden="1" thickBot="1" x14ac:dyDescent="0.3">
      <c r="A2675" s="186"/>
      <c r="B2675" s="179"/>
      <c r="C2675" s="25" t="s">
        <v>1560</v>
      </c>
      <c r="D2675" s="36" t="s">
        <v>75</v>
      </c>
      <c r="E2675" s="26">
        <v>0.77300000000000002</v>
      </c>
      <c r="F2675" s="27" t="s">
        <v>17</v>
      </c>
      <c r="G2675" s="19">
        <v>27.350499999999997</v>
      </c>
      <c r="H2675" s="27" t="s">
        <v>1561</v>
      </c>
      <c r="I2675" s="23">
        <f>IF(ISNUMBER(G2675),E2675*G2675,"")</f>
        <v>21.141936499999996</v>
      </c>
      <c r="J2675" s="24"/>
      <c r="K2675" s="19"/>
      <c r="L2675" s="174">
        <v>0</v>
      </c>
    </row>
    <row r="2676" spans="1:12" ht="15.75" hidden="1" thickBot="1" x14ac:dyDescent="0.3">
      <c r="A2676" s="186"/>
      <c r="B2676" s="179"/>
      <c r="C2676" s="25"/>
      <c r="D2676" s="36"/>
      <c r="E2676" s="26"/>
      <c r="F2676" s="27"/>
      <c r="G2676" s="19" t="s">
        <v>1079</v>
      </c>
      <c r="H2676" s="27"/>
      <c r="I2676" s="23" t="str">
        <f>IF(ISNUMBER(G2676),E2676*G2676,"")</f>
        <v/>
      </c>
      <c r="J2676" s="24"/>
      <c r="K2676" s="19"/>
      <c r="L2676" s="174">
        <v>0</v>
      </c>
    </row>
    <row r="2677" spans="1:12" ht="26.25" hidden="1" thickBot="1" x14ac:dyDescent="0.3">
      <c r="A2677" s="186"/>
      <c r="B2677" s="179"/>
      <c r="C2677" s="39" t="s">
        <v>1565</v>
      </c>
      <c r="D2677" s="36"/>
      <c r="E2677" s="26"/>
      <c r="F2677" s="27"/>
      <c r="G2677" s="19" t="s">
        <v>1079</v>
      </c>
      <c r="H2677" s="27"/>
      <c r="I2677" s="23" t="str">
        <f>IF(ISNUMBER(G2677),E2677*G2677,"")</f>
        <v/>
      </c>
      <c r="J2677" s="24"/>
      <c r="K2677" s="19"/>
      <c r="L2677" s="174">
        <v>0</v>
      </c>
    </row>
    <row r="2678" spans="1:12" ht="26.25" hidden="1" thickBot="1" x14ac:dyDescent="0.3">
      <c r="A2678" s="186"/>
      <c r="B2678" s="179"/>
      <c r="C2678" s="44" t="s">
        <v>1566</v>
      </c>
      <c r="D2678" s="36"/>
      <c r="E2678" s="26"/>
      <c r="F2678" s="27"/>
      <c r="G2678" s="19" t="s">
        <v>1079</v>
      </c>
      <c r="H2678" s="27"/>
      <c r="I2678" s="23" t="str">
        <f>IF(ISNUMBER(G2678),E2678*G2678,"")</f>
        <v/>
      </c>
      <c r="J2678" s="24"/>
      <c r="K2678" s="19"/>
      <c r="L2678" s="174">
        <v>0</v>
      </c>
    </row>
    <row r="2679" spans="1:12" ht="15.75" hidden="1" thickBot="1" x14ac:dyDescent="0.3">
      <c r="A2679" s="187"/>
      <c r="B2679" s="183"/>
      <c r="C2679" s="25"/>
      <c r="D2679" s="25"/>
      <c r="E2679" s="26"/>
      <c r="F2679" s="27"/>
      <c r="G2679" s="19" t="s">
        <v>1079</v>
      </c>
      <c r="H2679" s="27"/>
      <c r="I2679" s="23" t="str">
        <f>IF(ISNUMBER(G2679),E2679*G2679,"")</f>
        <v/>
      </c>
      <c r="J2679" s="24"/>
      <c r="K2679" s="19"/>
      <c r="L2679" s="174">
        <v>0</v>
      </c>
    </row>
    <row r="2680" spans="1:12" ht="15.75" hidden="1" thickBot="1" x14ac:dyDescent="0.3">
      <c r="A2680" s="180" t="s">
        <v>1567</v>
      </c>
      <c r="B2680" s="178" t="str">
        <f>INDEX(Orçamentária!A:B,MATCH(Composições!A2680,Orçamentária!A:A,0),2)</f>
        <v>Perfil em alumínio para acabamento de trilho superior</v>
      </c>
      <c r="C2680" s="30"/>
      <c r="D2680" s="13" t="str">
        <f>TRIM(INDEX(Orçamentária!C:C,MATCH(Composições!A2680,Orçamentária!A:A,0),1))</f>
        <v>m</v>
      </c>
      <c r="E2680" s="14"/>
      <c r="F2680" s="15" t="str">
        <f>F2682</f>
        <v>Senado Federal</v>
      </c>
      <c r="G2680" s="31" t="s">
        <v>1079</v>
      </c>
      <c r="H2680" s="16"/>
      <c r="I2680" s="16" t="str">
        <f>IF(ISNUMBER(G2680),E2680*G2680,"")</f>
        <v/>
      </c>
      <c r="J2680" s="17"/>
      <c r="K2680" s="18"/>
      <c r="L2680" s="174">
        <v>0</v>
      </c>
    </row>
    <row r="2681" spans="1:12" ht="15.75" hidden="1" thickBot="1" x14ac:dyDescent="0.3">
      <c r="A2681" s="186"/>
      <c r="B2681" s="179"/>
      <c r="C2681" s="20"/>
      <c r="D2681" s="20"/>
      <c r="E2681" s="21"/>
      <c r="F2681" s="43"/>
      <c r="G2681" s="32" t="s">
        <v>1079</v>
      </c>
      <c r="H2681" s="20"/>
      <c r="I2681" s="23" t="str">
        <f>IF(ISNUMBER(G2681),E2681*G2681,"")</f>
        <v/>
      </c>
      <c r="J2681" s="24"/>
      <c r="K2681" s="19"/>
      <c r="L2681" s="174">
        <v>0</v>
      </c>
    </row>
    <row r="2682" spans="1:12" ht="15.75" hidden="1" thickBot="1" x14ac:dyDescent="0.3">
      <c r="A2682" s="186"/>
      <c r="B2682" s="179"/>
      <c r="C2682" s="25" t="s">
        <v>134</v>
      </c>
      <c r="D2682" s="25" t="s">
        <v>21</v>
      </c>
      <c r="E2682" s="26">
        <v>0.2</v>
      </c>
      <c r="F2682" s="27" t="s">
        <v>17</v>
      </c>
      <c r="G2682" s="23">
        <v>17.850499999999997</v>
      </c>
      <c r="H2682" s="27" t="s">
        <v>135</v>
      </c>
      <c r="I2682" s="23">
        <f>IF(ISNUMBER(G2682),E2682*G2682,"")</f>
        <v>3.5700999999999996</v>
      </c>
      <c r="J2682" s="28">
        <f>SUM(I2682:I2683)</f>
        <v>11.2555905</v>
      </c>
      <c r="K2682" s="29"/>
      <c r="L2682" s="174">
        <v>0</v>
      </c>
    </row>
    <row r="2683" spans="1:12" ht="15.75" hidden="1" thickBot="1" x14ac:dyDescent="0.3">
      <c r="A2683" s="186"/>
      <c r="B2683" s="179"/>
      <c r="C2683" s="25" t="s">
        <v>1560</v>
      </c>
      <c r="D2683" s="25" t="s">
        <v>75</v>
      </c>
      <c r="E2683" s="26">
        <v>0.28100000000000003</v>
      </c>
      <c r="F2683" s="27" t="s">
        <v>17</v>
      </c>
      <c r="G2683" s="19">
        <v>27.350499999999997</v>
      </c>
      <c r="H2683" s="27" t="s">
        <v>1561</v>
      </c>
      <c r="I2683" s="23">
        <f>IF(ISNUMBER(G2683),E2683*G2683,"")</f>
        <v>7.6854905000000002</v>
      </c>
      <c r="J2683" s="24"/>
      <c r="K2683" s="19"/>
      <c r="L2683" s="174">
        <v>0</v>
      </c>
    </row>
    <row r="2684" spans="1:12" ht="15.75" hidden="1" thickBot="1" x14ac:dyDescent="0.3">
      <c r="A2684" s="186"/>
      <c r="B2684" s="179"/>
      <c r="C2684" s="25"/>
      <c r="D2684" s="36"/>
      <c r="E2684" s="26"/>
      <c r="F2684" s="27"/>
      <c r="G2684" s="19" t="s">
        <v>1079</v>
      </c>
      <c r="H2684" s="27"/>
      <c r="I2684" s="23" t="str">
        <f>IF(ISNUMBER(G2684),E2684*G2684,"")</f>
        <v/>
      </c>
      <c r="J2684" s="24"/>
      <c r="K2684" s="19"/>
      <c r="L2684" s="174">
        <v>0</v>
      </c>
    </row>
    <row r="2685" spans="1:12" ht="26.25" hidden="1" thickBot="1" x14ac:dyDescent="0.3">
      <c r="A2685" s="186"/>
      <c r="B2685" s="179"/>
      <c r="C2685" s="39" t="s">
        <v>1568</v>
      </c>
      <c r="D2685" s="36"/>
      <c r="E2685" s="26"/>
      <c r="F2685" s="27"/>
      <c r="G2685" s="19" t="s">
        <v>1079</v>
      </c>
      <c r="H2685" s="27"/>
      <c r="I2685" s="23" t="str">
        <f>IF(ISNUMBER(G2685),E2685*G2685,"")</f>
        <v/>
      </c>
      <c r="J2685" s="24"/>
      <c r="K2685" s="19"/>
      <c r="L2685" s="174">
        <v>0</v>
      </c>
    </row>
    <row r="2686" spans="1:12" ht="26.25" hidden="1" thickBot="1" x14ac:dyDescent="0.3">
      <c r="A2686" s="186"/>
      <c r="B2686" s="179"/>
      <c r="C2686" s="44" t="s">
        <v>1566</v>
      </c>
      <c r="D2686" s="36"/>
      <c r="E2686" s="26"/>
      <c r="F2686" s="27"/>
      <c r="G2686" s="19" t="s">
        <v>1079</v>
      </c>
      <c r="H2686" s="27"/>
      <c r="I2686" s="23" t="str">
        <f>IF(ISNUMBER(G2686),E2686*G2686,"")</f>
        <v/>
      </c>
      <c r="J2686" s="24"/>
      <c r="K2686" s="19"/>
      <c r="L2686" s="174">
        <v>0</v>
      </c>
    </row>
    <row r="2687" spans="1:12" ht="15.75" hidden="1" thickBot="1" x14ac:dyDescent="0.3">
      <c r="A2687" s="187"/>
      <c r="B2687" s="183"/>
      <c r="C2687" s="25"/>
      <c r="D2687" s="25"/>
      <c r="E2687" s="26"/>
      <c r="F2687" s="27"/>
      <c r="G2687" s="19" t="s">
        <v>1079</v>
      </c>
      <c r="H2687" s="27"/>
      <c r="I2687" s="23" t="str">
        <f>IF(ISNUMBER(G2687),E2687*G2687,"")</f>
        <v/>
      </c>
      <c r="J2687" s="24"/>
      <c r="K2687" s="19"/>
      <c r="L2687" s="174">
        <v>0</v>
      </c>
    </row>
    <row r="2688" spans="1:12" ht="15.75" hidden="1" thickBot="1" x14ac:dyDescent="0.3">
      <c r="A2688" s="180" t="s">
        <v>1569</v>
      </c>
      <c r="B2688" s="178" t="str">
        <f>INDEX(Orçamentária!A:B,MATCH(Composições!A2688,Orçamentária!A:A,0),2)</f>
        <v>Perfil guia inferior de alumínio 39,3 mm x 24 mm para vidro temperado 10mm</v>
      </c>
      <c r="C2688" s="30"/>
      <c r="D2688" s="13" t="str">
        <f>TRIM(INDEX(Orçamentária!C:C,MATCH(Composições!A2688,Orçamentária!A:A,0),1))</f>
        <v>m</v>
      </c>
      <c r="E2688" s="14"/>
      <c r="F2688" s="15" t="str">
        <f>F2690</f>
        <v>Senado Federal</v>
      </c>
      <c r="G2688" s="31" t="s">
        <v>1079</v>
      </c>
      <c r="H2688" s="16"/>
      <c r="I2688" s="16" t="str">
        <f>IF(ISNUMBER(G2688),E2688*G2688,"")</f>
        <v/>
      </c>
      <c r="J2688" s="17"/>
      <c r="K2688" s="18"/>
      <c r="L2688" s="174">
        <v>0</v>
      </c>
    </row>
    <row r="2689" spans="1:12" ht="15.75" hidden="1" thickBot="1" x14ac:dyDescent="0.3">
      <c r="A2689" s="186"/>
      <c r="B2689" s="179"/>
      <c r="C2689" s="20"/>
      <c r="D2689" s="20"/>
      <c r="E2689" s="21"/>
      <c r="F2689" s="43"/>
      <c r="G2689" s="32" t="s">
        <v>1079</v>
      </c>
      <c r="H2689" s="20"/>
      <c r="I2689" s="23" t="str">
        <f>IF(ISNUMBER(G2689),E2689*G2689,"")</f>
        <v/>
      </c>
      <c r="J2689" s="24"/>
      <c r="K2689" s="19"/>
      <c r="L2689" s="174">
        <v>0</v>
      </c>
    </row>
    <row r="2690" spans="1:12" ht="15.75" hidden="1" thickBot="1" x14ac:dyDescent="0.3">
      <c r="A2690" s="186"/>
      <c r="B2690" s="179"/>
      <c r="C2690" s="25" t="s">
        <v>134</v>
      </c>
      <c r="D2690" s="36" t="s">
        <v>21</v>
      </c>
      <c r="E2690" s="26">
        <v>0.3</v>
      </c>
      <c r="F2690" s="27" t="s">
        <v>17</v>
      </c>
      <c r="G2690" s="23">
        <v>17.850499999999997</v>
      </c>
      <c r="H2690" s="27" t="s">
        <v>135</v>
      </c>
      <c r="I2690" s="23">
        <f>IF(ISNUMBER(G2690),E2690*G2690,"")</f>
        <v>5.3551499999999992</v>
      </c>
      <c r="J2690" s="28">
        <f>SUM(I2690:I2691)</f>
        <v>17.690225499999997</v>
      </c>
      <c r="K2690" s="29"/>
      <c r="L2690" s="174">
        <v>0</v>
      </c>
    </row>
    <row r="2691" spans="1:12" ht="15.75" hidden="1" thickBot="1" x14ac:dyDescent="0.3">
      <c r="A2691" s="186"/>
      <c r="B2691" s="179"/>
      <c r="C2691" s="25" t="s">
        <v>1560</v>
      </c>
      <c r="D2691" s="25" t="s">
        <v>75</v>
      </c>
      <c r="E2691" s="26">
        <v>0.45100000000000001</v>
      </c>
      <c r="F2691" s="27" t="s">
        <v>17</v>
      </c>
      <c r="G2691" s="19">
        <v>27.350499999999997</v>
      </c>
      <c r="H2691" s="27" t="s">
        <v>1561</v>
      </c>
      <c r="I2691" s="23">
        <f>IF(ISNUMBER(G2691),E2691*G2691,"")</f>
        <v>12.335075499999999</v>
      </c>
      <c r="J2691" s="24"/>
      <c r="K2691" s="19"/>
      <c r="L2691" s="174">
        <v>0</v>
      </c>
    </row>
    <row r="2692" spans="1:12" ht="15.75" hidden="1" thickBot="1" x14ac:dyDescent="0.3">
      <c r="A2692" s="186"/>
      <c r="B2692" s="179"/>
      <c r="C2692" s="25"/>
      <c r="D2692" s="36"/>
      <c r="E2692" s="26"/>
      <c r="F2692" s="27"/>
      <c r="G2692" s="19" t="s">
        <v>1079</v>
      </c>
      <c r="H2692" s="27"/>
      <c r="I2692" s="23" t="str">
        <f>IF(ISNUMBER(G2692),E2692*G2692,"")</f>
        <v/>
      </c>
      <c r="J2692" s="24"/>
      <c r="K2692" s="19"/>
      <c r="L2692" s="174">
        <v>0</v>
      </c>
    </row>
    <row r="2693" spans="1:12" ht="26.25" hidden="1" thickBot="1" x14ac:dyDescent="0.3">
      <c r="A2693" s="186"/>
      <c r="B2693" s="179"/>
      <c r="C2693" s="39" t="s">
        <v>1568</v>
      </c>
      <c r="D2693" s="36"/>
      <c r="E2693" s="26"/>
      <c r="F2693" s="27"/>
      <c r="G2693" s="19" t="s">
        <v>1079</v>
      </c>
      <c r="H2693" s="27"/>
      <c r="I2693" s="23" t="str">
        <f>IF(ISNUMBER(G2693),E2693*G2693,"")</f>
        <v/>
      </c>
      <c r="J2693" s="24"/>
      <c r="K2693" s="19"/>
      <c r="L2693" s="174">
        <v>0</v>
      </c>
    </row>
    <row r="2694" spans="1:12" ht="26.25" hidden="1" thickBot="1" x14ac:dyDescent="0.3">
      <c r="A2694" s="186"/>
      <c r="B2694" s="179"/>
      <c r="C2694" s="44" t="s">
        <v>1566</v>
      </c>
      <c r="D2694" s="36"/>
      <c r="E2694" s="26"/>
      <c r="F2694" s="27"/>
      <c r="G2694" s="19" t="s">
        <v>1079</v>
      </c>
      <c r="H2694" s="27"/>
      <c r="I2694" s="23" t="str">
        <f>IF(ISNUMBER(G2694),E2694*G2694,"")</f>
        <v/>
      </c>
      <c r="J2694" s="24"/>
      <c r="K2694" s="19"/>
      <c r="L2694" s="174">
        <v>0</v>
      </c>
    </row>
    <row r="2695" spans="1:12" ht="15.75" hidden="1" thickBot="1" x14ac:dyDescent="0.3">
      <c r="A2695" s="187"/>
      <c r="B2695" s="183"/>
      <c r="C2695" s="25"/>
      <c r="D2695" s="25"/>
      <c r="E2695" s="26"/>
      <c r="F2695" s="27"/>
      <c r="G2695" s="19" t="s">
        <v>1079</v>
      </c>
      <c r="H2695" s="27"/>
      <c r="I2695" s="23" t="str">
        <f>IF(ISNUMBER(G2695),E2695*G2695,"")</f>
        <v/>
      </c>
      <c r="J2695" s="24"/>
      <c r="K2695" s="19"/>
      <c r="L2695" s="174">
        <v>0</v>
      </c>
    </row>
    <row r="2696" spans="1:12" ht="15.75" hidden="1" thickBot="1" x14ac:dyDescent="0.3">
      <c r="A2696" s="180" t="s">
        <v>1570</v>
      </c>
      <c r="B2696" s="178" t="str">
        <f>INDEX(Orçamentária!A:B,MATCH(Composições!A2696,Orçamentária!A:A,0),2)</f>
        <v>Capa do Perfil Guia Inferior “Click”</v>
      </c>
      <c r="C2696" s="30"/>
      <c r="D2696" s="13" t="str">
        <f>TRIM(INDEX(Orçamentária!C:C,MATCH(Composições!A2696,Orçamentária!A:A,0),1))</f>
        <v>m</v>
      </c>
      <c r="E2696" s="14"/>
      <c r="F2696" s="15" t="str">
        <f>F2698</f>
        <v>Senado Federal</v>
      </c>
      <c r="G2696" s="31" t="s">
        <v>1079</v>
      </c>
      <c r="H2696" s="16"/>
      <c r="I2696" s="16" t="str">
        <f>IF(ISNUMBER(G2696),E2696*G2696,"")</f>
        <v/>
      </c>
      <c r="J2696" s="17"/>
      <c r="K2696" s="18"/>
      <c r="L2696" s="174">
        <v>0</v>
      </c>
    </row>
    <row r="2697" spans="1:12" ht="15.75" hidden="1" thickBot="1" x14ac:dyDescent="0.3">
      <c r="A2697" s="186"/>
      <c r="B2697" s="179"/>
      <c r="C2697" s="20"/>
      <c r="D2697" s="20"/>
      <c r="E2697" s="21"/>
      <c r="F2697" s="43"/>
      <c r="G2697" s="32" t="s">
        <v>1079</v>
      </c>
      <c r="H2697" s="20"/>
      <c r="I2697" s="23" t="str">
        <f>IF(ISNUMBER(G2697),E2697*G2697,"")</f>
        <v/>
      </c>
      <c r="J2697" s="24"/>
      <c r="K2697" s="19"/>
      <c r="L2697" s="174">
        <v>0</v>
      </c>
    </row>
    <row r="2698" spans="1:12" ht="15.75" hidden="1" thickBot="1" x14ac:dyDescent="0.3">
      <c r="A2698" s="186"/>
      <c r="B2698" s="179"/>
      <c r="C2698" s="25" t="s">
        <v>134</v>
      </c>
      <c r="D2698" s="36" t="s">
        <v>21</v>
      </c>
      <c r="E2698" s="26">
        <v>0.15</v>
      </c>
      <c r="F2698" s="27" t="s">
        <v>17</v>
      </c>
      <c r="G2698" s="23">
        <v>17.850499999999997</v>
      </c>
      <c r="H2698" s="27" t="s">
        <v>135</v>
      </c>
      <c r="I2698" s="23">
        <f>IF(ISNUMBER(G2698),E2698*G2698,"")</f>
        <v>2.6775749999999996</v>
      </c>
      <c r="J2698" s="28">
        <f>SUM(I2698:I2699)</f>
        <v>5.6861299999999995</v>
      </c>
      <c r="K2698" s="29"/>
      <c r="L2698" s="174">
        <v>0</v>
      </c>
    </row>
    <row r="2699" spans="1:12" ht="15.75" hidden="1" thickBot="1" x14ac:dyDescent="0.3">
      <c r="A2699" s="186"/>
      <c r="B2699" s="179"/>
      <c r="C2699" s="25" t="s">
        <v>1560</v>
      </c>
      <c r="D2699" s="36" t="s">
        <v>75</v>
      </c>
      <c r="E2699" s="26">
        <v>0.11</v>
      </c>
      <c r="F2699" s="27" t="s">
        <v>17</v>
      </c>
      <c r="G2699" s="19">
        <v>27.350499999999997</v>
      </c>
      <c r="H2699" s="27" t="s">
        <v>1561</v>
      </c>
      <c r="I2699" s="23">
        <f>IF(ISNUMBER(G2699),E2699*G2699,"")</f>
        <v>3.0085549999999999</v>
      </c>
      <c r="J2699" s="24"/>
      <c r="K2699" s="19"/>
      <c r="L2699" s="174">
        <v>0</v>
      </c>
    </row>
    <row r="2700" spans="1:12" ht="15.75" hidden="1" thickBot="1" x14ac:dyDescent="0.3">
      <c r="A2700" s="186"/>
      <c r="B2700" s="179"/>
      <c r="C2700" s="25"/>
      <c r="D2700" s="36"/>
      <c r="E2700" s="26"/>
      <c r="F2700" s="27"/>
      <c r="G2700" s="19" t="s">
        <v>1079</v>
      </c>
      <c r="H2700" s="27"/>
      <c r="I2700" s="23" t="str">
        <f>IF(ISNUMBER(G2700),E2700*G2700,"")</f>
        <v/>
      </c>
      <c r="J2700" s="24"/>
      <c r="K2700" s="19"/>
      <c r="L2700" s="174">
        <v>0</v>
      </c>
    </row>
    <row r="2701" spans="1:12" ht="26.25" hidden="1" thickBot="1" x14ac:dyDescent="0.3">
      <c r="A2701" s="186"/>
      <c r="B2701" s="179"/>
      <c r="C2701" s="39" t="s">
        <v>1571</v>
      </c>
      <c r="D2701" s="36"/>
      <c r="E2701" s="26"/>
      <c r="F2701" s="27"/>
      <c r="G2701" s="19" t="s">
        <v>1079</v>
      </c>
      <c r="H2701" s="27"/>
      <c r="I2701" s="23" t="str">
        <f>IF(ISNUMBER(G2701),E2701*G2701,"")</f>
        <v/>
      </c>
      <c r="J2701" s="24"/>
      <c r="K2701" s="19"/>
      <c r="L2701" s="174">
        <v>0</v>
      </c>
    </row>
    <row r="2702" spans="1:12" ht="26.25" hidden="1" thickBot="1" x14ac:dyDescent="0.3">
      <c r="A2702" s="186"/>
      <c r="B2702" s="179"/>
      <c r="C2702" s="44" t="s">
        <v>1566</v>
      </c>
      <c r="D2702" s="36"/>
      <c r="E2702" s="26"/>
      <c r="F2702" s="27"/>
      <c r="G2702" s="19" t="s">
        <v>1079</v>
      </c>
      <c r="H2702" s="27"/>
      <c r="I2702" s="23" t="str">
        <f>IF(ISNUMBER(G2702),E2702*G2702,"")</f>
        <v/>
      </c>
      <c r="J2702" s="24"/>
      <c r="K2702" s="19"/>
      <c r="L2702" s="174">
        <v>0</v>
      </c>
    </row>
    <row r="2703" spans="1:12" ht="15.75" hidden="1" thickBot="1" x14ac:dyDescent="0.3">
      <c r="A2703" s="187"/>
      <c r="B2703" s="183"/>
      <c r="C2703" s="25"/>
      <c r="D2703" s="25"/>
      <c r="E2703" s="26"/>
      <c r="F2703" s="27"/>
      <c r="G2703" s="19" t="s">
        <v>1079</v>
      </c>
      <c r="H2703" s="27"/>
      <c r="I2703" s="23" t="str">
        <f>IF(ISNUMBER(G2703),E2703*G2703,"")</f>
        <v/>
      </c>
      <c r="J2703" s="24"/>
      <c r="K2703" s="19"/>
      <c r="L2703" s="174">
        <v>0</v>
      </c>
    </row>
    <row r="2704" spans="1:12" ht="15.75" hidden="1" thickBot="1" x14ac:dyDescent="0.3">
      <c r="A2704" s="180" t="s">
        <v>1572</v>
      </c>
      <c r="B2704" s="178" t="str">
        <f>INDEX(Orçamentária!A:B,MATCH(Composições!A2704,Orçamentária!A:A,0),2)</f>
        <v>Dobradiça inferior para porta de vidro temperado</v>
      </c>
      <c r="C2704" s="30"/>
      <c r="D2704" s="13" t="str">
        <f>TRIM(INDEX(Orçamentária!C:C,MATCH(Composições!A2704,Orçamentária!A:A,0),1))</f>
        <v>un</v>
      </c>
      <c r="E2704" s="14"/>
      <c r="F2704" s="15" t="s">
        <v>17</v>
      </c>
      <c r="G2704" s="31" t="s">
        <v>1079</v>
      </c>
      <c r="H2704" s="16"/>
      <c r="I2704" s="16" t="str">
        <f>IF(ISNUMBER(G2704),E2704*G2704,"")</f>
        <v/>
      </c>
      <c r="J2704" s="17"/>
      <c r="K2704" s="18"/>
      <c r="L2704" s="174">
        <v>0</v>
      </c>
    </row>
    <row r="2705" spans="1:12" ht="15.75" hidden="1" thickBot="1" x14ac:dyDescent="0.3">
      <c r="A2705" s="181"/>
      <c r="B2705" s="179"/>
      <c r="C2705" s="20"/>
      <c r="D2705" s="20"/>
      <c r="E2705" s="21"/>
      <c r="F2705" s="43"/>
      <c r="G2705" s="32" t="s">
        <v>1079</v>
      </c>
      <c r="H2705" s="20"/>
      <c r="I2705" s="23" t="str">
        <f>IF(ISNUMBER(G2705),E2705*G2705,"")</f>
        <v/>
      </c>
      <c r="J2705" s="24"/>
      <c r="K2705" s="19"/>
      <c r="L2705" s="174">
        <v>0</v>
      </c>
    </row>
    <row r="2706" spans="1:12" ht="15.75" hidden="1" thickBot="1" x14ac:dyDescent="0.3">
      <c r="A2706" s="181"/>
      <c r="B2706" s="179"/>
      <c r="C2706" s="25" t="s">
        <v>134</v>
      </c>
      <c r="D2706" s="36" t="s">
        <v>21</v>
      </c>
      <c r="E2706" s="26">
        <v>0.3</v>
      </c>
      <c r="F2706" s="27" t="s">
        <v>17</v>
      </c>
      <c r="G2706" s="23">
        <v>17.850499999999997</v>
      </c>
      <c r="H2706" s="27" t="s">
        <v>135</v>
      </c>
      <c r="I2706" s="23">
        <f>IF(ISNUMBER(G2706),E2706*G2706,"")</f>
        <v>5.3551499999999992</v>
      </c>
      <c r="J2706" s="28">
        <f>SUM(I2706:I2707)</f>
        <v>6.3051499999999994</v>
      </c>
      <c r="K2706" s="29"/>
      <c r="L2706" s="174">
        <v>0</v>
      </c>
    </row>
    <row r="2707" spans="1:12" ht="26.25" hidden="1" thickBot="1" x14ac:dyDescent="0.3">
      <c r="A2707" s="181"/>
      <c r="B2707" s="179"/>
      <c r="C2707" s="25" t="s">
        <v>1573</v>
      </c>
      <c r="D2707" s="25" t="s">
        <v>32</v>
      </c>
      <c r="E2707" s="26">
        <v>1</v>
      </c>
      <c r="F2707" s="27" t="s">
        <v>17</v>
      </c>
      <c r="G2707" s="19">
        <v>0.95</v>
      </c>
      <c r="H2707" s="27" t="s">
        <v>4596</v>
      </c>
      <c r="I2707" s="23">
        <f>IF(ISNUMBER(G2707),E2707*G2707,"")</f>
        <v>0.95</v>
      </c>
      <c r="J2707" s="24"/>
      <c r="K2707" s="19"/>
      <c r="L2707" s="174">
        <v>0</v>
      </c>
    </row>
    <row r="2708" spans="1:12" ht="15.75" hidden="1" thickBot="1" x14ac:dyDescent="0.3">
      <c r="A2708" s="182"/>
      <c r="B2708" s="183"/>
      <c r="C2708" s="25"/>
      <c r="D2708" s="25"/>
      <c r="E2708" s="26"/>
      <c r="F2708" s="27"/>
      <c r="G2708" s="19" t="s">
        <v>1079</v>
      </c>
      <c r="H2708" s="27"/>
      <c r="I2708" s="23" t="str">
        <f>IF(ISNUMBER(G2708),E2708*G2708,"")</f>
        <v/>
      </c>
      <c r="J2708" s="24"/>
      <c r="K2708" s="19"/>
      <c r="L2708" s="174">
        <v>0</v>
      </c>
    </row>
    <row r="2709" spans="1:12" ht="15.75" hidden="1" thickBot="1" x14ac:dyDescent="0.3">
      <c r="A2709" s="180" t="s">
        <v>1574</v>
      </c>
      <c r="B2709" s="178" t="str">
        <f>INDEX(Orçamentária!A:B,MATCH(Composições!A2709,Orçamentária!A:A,0),2)</f>
        <v>Escova de vedação para vidro temperado</v>
      </c>
      <c r="C2709" s="30"/>
      <c r="D2709" s="13" t="str">
        <f>TRIM(INDEX(Orçamentária!C:C,MATCH(Composições!A2709,Orçamentária!A:A,0),1))</f>
        <v>m</v>
      </c>
      <c r="E2709" s="14"/>
      <c r="F2709" s="15" t="s">
        <v>17</v>
      </c>
      <c r="G2709" s="31" t="s">
        <v>1079</v>
      </c>
      <c r="H2709" s="16"/>
      <c r="I2709" s="16" t="str">
        <f>IF(ISNUMBER(G2709),E2709*G2709,"")</f>
        <v/>
      </c>
      <c r="J2709" s="17"/>
      <c r="K2709" s="18"/>
      <c r="L2709" s="174">
        <v>0</v>
      </c>
    </row>
    <row r="2710" spans="1:12" ht="15.75" hidden="1" thickBot="1" x14ac:dyDescent="0.3">
      <c r="A2710" s="181"/>
      <c r="B2710" s="179"/>
      <c r="C2710" s="20"/>
      <c r="D2710" s="20"/>
      <c r="E2710" s="21"/>
      <c r="F2710" s="43"/>
      <c r="G2710" s="32" t="s">
        <v>1079</v>
      </c>
      <c r="H2710" s="20"/>
      <c r="I2710" s="23" t="str">
        <f>IF(ISNUMBER(G2710),E2710*G2710,"")</f>
        <v/>
      </c>
      <c r="J2710" s="24"/>
      <c r="K2710" s="19"/>
      <c r="L2710" s="174">
        <v>0</v>
      </c>
    </row>
    <row r="2711" spans="1:12" ht="15.75" hidden="1" thickBot="1" x14ac:dyDescent="0.3">
      <c r="A2711" s="181"/>
      <c r="B2711" s="179"/>
      <c r="C2711" s="25" t="s">
        <v>134</v>
      </c>
      <c r="D2711" s="36" t="s">
        <v>21</v>
      </c>
      <c r="E2711" s="26">
        <v>0.3</v>
      </c>
      <c r="F2711" s="27" t="s">
        <v>17</v>
      </c>
      <c r="G2711" s="23">
        <v>17.850499999999997</v>
      </c>
      <c r="H2711" s="27" t="s">
        <v>135</v>
      </c>
      <c r="I2711" s="23">
        <f>IF(ISNUMBER(G2711),E2711*G2711,"")</f>
        <v>5.3551499999999992</v>
      </c>
      <c r="J2711" s="28">
        <f>SUM(I2711:I2712)</f>
        <v>5.3551499999999992</v>
      </c>
      <c r="K2711" s="29"/>
      <c r="L2711" s="174">
        <v>0</v>
      </c>
    </row>
    <row r="2712" spans="1:12" ht="51.75" hidden="1" thickBot="1" x14ac:dyDescent="0.3">
      <c r="A2712" s="181"/>
      <c r="B2712" s="179"/>
      <c r="C2712" s="25" t="s">
        <v>1575</v>
      </c>
      <c r="D2712" s="25" t="s">
        <v>32</v>
      </c>
      <c r="E2712" s="26">
        <v>1</v>
      </c>
      <c r="F2712" s="27" t="s">
        <v>17</v>
      </c>
      <c r="G2712" s="19" t="s">
        <v>1079</v>
      </c>
      <c r="H2712" s="27" t="s">
        <v>33</v>
      </c>
      <c r="I2712" s="23" t="str">
        <f>IF(ISNUMBER(G2712),E2712*G2712,"")</f>
        <v/>
      </c>
      <c r="J2712" s="24"/>
      <c r="K2712" s="19"/>
      <c r="L2712" s="174">
        <v>0</v>
      </c>
    </row>
    <row r="2713" spans="1:12" ht="15.75" hidden="1" thickBot="1" x14ac:dyDescent="0.3">
      <c r="A2713" s="182"/>
      <c r="B2713" s="183"/>
      <c r="C2713" s="25"/>
      <c r="D2713" s="25"/>
      <c r="E2713" s="26"/>
      <c r="F2713" s="27"/>
      <c r="G2713" s="19" t="s">
        <v>1079</v>
      </c>
      <c r="H2713" s="27"/>
      <c r="I2713" s="23" t="str">
        <f>IF(ISNUMBER(G2713),E2713*G2713,"")</f>
        <v/>
      </c>
      <c r="J2713" s="24"/>
      <c r="K2713" s="19"/>
      <c r="L2713" s="174">
        <v>0</v>
      </c>
    </row>
    <row r="2714" spans="1:12" ht="15.75" hidden="1" thickBot="1" x14ac:dyDescent="0.3">
      <c r="A2714" s="180" t="s">
        <v>1576</v>
      </c>
      <c r="B2714" s="178" t="str">
        <f>INDEX(Orçamentária!A:B,MATCH(Composições!A2714,Orçamentária!A:A,0),2)</f>
        <v>Roldana simples para porta de correr em vidro temperado</v>
      </c>
      <c r="C2714" s="30"/>
      <c r="D2714" s="13" t="str">
        <f>TRIM(INDEX(Orçamentária!C:C,MATCH(Composições!A2714,Orçamentária!A:A,0),1))</f>
        <v>un</v>
      </c>
      <c r="E2714" s="14"/>
      <c r="F2714" s="15" t="s">
        <v>17</v>
      </c>
      <c r="G2714" s="31" t="s">
        <v>1079</v>
      </c>
      <c r="H2714" s="16"/>
      <c r="I2714" s="16" t="str">
        <f>IF(ISNUMBER(G2714),E2714*G2714,"")</f>
        <v/>
      </c>
      <c r="J2714" s="17"/>
      <c r="K2714" s="18"/>
      <c r="L2714" s="174">
        <v>0</v>
      </c>
    </row>
    <row r="2715" spans="1:12" ht="15.75" hidden="1" thickBot="1" x14ac:dyDescent="0.3">
      <c r="A2715" s="181"/>
      <c r="B2715" s="179"/>
      <c r="C2715" s="20"/>
      <c r="D2715" s="20"/>
      <c r="E2715" s="21"/>
      <c r="F2715" s="43"/>
      <c r="G2715" s="32" t="s">
        <v>1079</v>
      </c>
      <c r="H2715" s="20"/>
      <c r="I2715" s="23" t="str">
        <f>IF(ISNUMBER(G2715),E2715*G2715,"")</f>
        <v/>
      </c>
      <c r="J2715" s="24"/>
      <c r="K2715" s="19"/>
      <c r="L2715" s="174">
        <v>0</v>
      </c>
    </row>
    <row r="2716" spans="1:12" ht="15.75" hidden="1" thickBot="1" x14ac:dyDescent="0.3">
      <c r="A2716" s="181"/>
      <c r="B2716" s="179"/>
      <c r="C2716" s="25" t="s">
        <v>134</v>
      </c>
      <c r="D2716" s="25" t="s">
        <v>21</v>
      </c>
      <c r="E2716" s="26">
        <v>0.15</v>
      </c>
      <c r="F2716" s="27" t="s">
        <v>17</v>
      </c>
      <c r="G2716" s="23">
        <v>17.850499999999997</v>
      </c>
      <c r="H2716" s="27" t="s">
        <v>135</v>
      </c>
      <c r="I2716" s="23">
        <f>IF(ISNUMBER(G2716),E2716*G2716,"")</f>
        <v>2.6775749999999996</v>
      </c>
      <c r="J2716" s="28">
        <f>SUM(I2716:I2717)</f>
        <v>2.6775749999999996</v>
      </c>
      <c r="K2716" s="29"/>
      <c r="L2716" s="174">
        <v>0</v>
      </c>
    </row>
    <row r="2717" spans="1:12" ht="26.25" hidden="1" thickBot="1" x14ac:dyDescent="0.3">
      <c r="A2717" s="181"/>
      <c r="B2717" s="179"/>
      <c r="C2717" s="25" t="s">
        <v>1577</v>
      </c>
      <c r="D2717" s="25" t="s">
        <v>32</v>
      </c>
      <c r="E2717" s="26">
        <v>1</v>
      </c>
      <c r="F2717" s="27" t="s">
        <v>17</v>
      </c>
      <c r="G2717" s="19" t="s">
        <v>1079</v>
      </c>
      <c r="H2717" s="27" t="s">
        <v>33</v>
      </c>
      <c r="I2717" s="23" t="str">
        <f>IF(ISNUMBER(G2717),E2717*G2717,"")</f>
        <v/>
      </c>
      <c r="J2717" s="24"/>
      <c r="K2717" s="19"/>
      <c r="L2717" s="174">
        <v>0</v>
      </c>
    </row>
    <row r="2718" spans="1:12" ht="15.75" hidden="1" thickBot="1" x14ac:dyDescent="0.3">
      <c r="A2718" s="182"/>
      <c r="B2718" s="183"/>
      <c r="C2718" s="25"/>
      <c r="D2718" s="25"/>
      <c r="E2718" s="26"/>
      <c r="F2718" s="27"/>
      <c r="G2718" s="19" t="s">
        <v>1079</v>
      </c>
      <c r="H2718" s="27"/>
      <c r="I2718" s="23" t="str">
        <f>IF(ISNUMBER(G2718),E2718*G2718,"")</f>
        <v/>
      </c>
      <c r="J2718" s="24"/>
      <c r="K2718" s="19"/>
      <c r="L2718" s="174">
        <v>0</v>
      </c>
    </row>
    <row r="2719" spans="1:12" ht="15.75" hidden="1" thickBot="1" x14ac:dyDescent="0.3">
      <c r="A2719" s="180" t="s">
        <v>1578</v>
      </c>
      <c r="B2719" s="178" t="str">
        <f>INDEX(Orçamentária!A:B,MATCH(Composições!A2719,Orçamentária!A:A,0),2)</f>
        <v>Roldana dupla para porta de correr em vidro temperado</v>
      </c>
      <c r="C2719" s="30"/>
      <c r="D2719" s="13" t="str">
        <f>TRIM(INDEX(Orçamentária!C:C,MATCH(Composições!A2719,Orçamentária!A:A,0),1))</f>
        <v>un</v>
      </c>
      <c r="E2719" s="14"/>
      <c r="F2719" s="15" t="s">
        <v>17</v>
      </c>
      <c r="G2719" s="31" t="s">
        <v>1079</v>
      </c>
      <c r="H2719" s="16"/>
      <c r="I2719" s="16" t="str">
        <f>IF(ISNUMBER(G2719),E2719*G2719,"")</f>
        <v/>
      </c>
      <c r="J2719" s="17"/>
      <c r="K2719" s="18"/>
      <c r="L2719" s="174">
        <v>0</v>
      </c>
    </row>
    <row r="2720" spans="1:12" ht="15.75" hidden="1" thickBot="1" x14ac:dyDescent="0.3">
      <c r="A2720" s="181"/>
      <c r="B2720" s="179"/>
      <c r="C2720" s="20"/>
      <c r="D2720" s="20"/>
      <c r="E2720" s="21"/>
      <c r="F2720" s="43"/>
      <c r="G2720" s="32" t="s">
        <v>1079</v>
      </c>
      <c r="H2720" s="20"/>
      <c r="I2720" s="23" t="str">
        <f>IF(ISNUMBER(G2720),E2720*G2720,"")</f>
        <v/>
      </c>
      <c r="J2720" s="24"/>
      <c r="K2720" s="19"/>
      <c r="L2720" s="174">
        <v>0</v>
      </c>
    </row>
    <row r="2721" spans="1:12" ht="15.75" hidden="1" thickBot="1" x14ac:dyDescent="0.3">
      <c r="A2721" s="181"/>
      <c r="B2721" s="179"/>
      <c r="C2721" s="25" t="s">
        <v>134</v>
      </c>
      <c r="D2721" s="25" t="s">
        <v>21</v>
      </c>
      <c r="E2721" s="26">
        <v>0.15</v>
      </c>
      <c r="F2721" s="27" t="s">
        <v>17</v>
      </c>
      <c r="G2721" s="23">
        <v>17.850499999999997</v>
      </c>
      <c r="H2721" s="27" t="s">
        <v>135</v>
      </c>
      <c r="I2721" s="23">
        <f>IF(ISNUMBER(G2721),E2721*G2721,"")</f>
        <v>2.6775749999999996</v>
      </c>
      <c r="J2721" s="28">
        <f>SUM(I2721:I2722)</f>
        <v>2.6775749999999996</v>
      </c>
      <c r="K2721" s="29"/>
      <c r="L2721" s="174">
        <v>0</v>
      </c>
    </row>
    <row r="2722" spans="1:12" ht="26.25" hidden="1" thickBot="1" x14ac:dyDescent="0.3">
      <c r="A2722" s="181"/>
      <c r="B2722" s="179"/>
      <c r="C2722" s="25" t="s">
        <v>1579</v>
      </c>
      <c r="D2722" s="25" t="s">
        <v>32</v>
      </c>
      <c r="E2722" s="26">
        <v>1</v>
      </c>
      <c r="F2722" s="27" t="s">
        <v>17</v>
      </c>
      <c r="G2722" s="19" t="s">
        <v>1079</v>
      </c>
      <c r="H2722" s="27" t="s">
        <v>33</v>
      </c>
      <c r="I2722" s="23" t="str">
        <f>IF(ISNUMBER(G2722),E2722*G2722,"")</f>
        <v/>
      </c>
      <c r="J2722" s="24"/>
      <c r="K2722" s="19"/>
      <c r="L2722" s="174">
        <v>0</v>
      </c>
    </row>
    <row r="2723" spans="1:12" ht="15.75" hidden="1" thickBot="1" x14ac:dyDescent="0.3">
      <c r="A2723" s="182"/>
      <c r="B2723" s="183"/>
      <c r="C2723" s="25"/>
      <c r="D2723" s="25"/>
      <c r="E2723" s="26"/>
      <c r="F2723" s="27"/>
      <c r="G2723" s="19" t="s">
        <v>1079</v>
      </c>
      <c r="H2723" s="27"/>
      <c r="I2723" s="23" t="str">
        <f>IF(ISNUMBER(G2723),E2723*G2723,"")</f>
        <v/>
      </c>
      <c r="J2723" s="24"/>
      <c r="K2723" s="19"/>
      <c r="L2723" s="174">
        <v>0</v>
      </c>
    </row>
    <row r="2724" spans="1:12" ht="15.75" hidden="1" thickBot="1" x14ac:dyDescent="0.3">
      <c r="A2724" s="180" t="s">
        <v>1580</v>
      </c>
      <c r="B2724" s="178" t="str">
        <f>INDEX(Orçamentária!A:B,MATCH(Composições!A2724,Orçamentária!A:A,0),2)</f>
        <v>Capuchinho para trinco para vidro temperado</v>
      </c>
      <c r="C2724" s="30"/>
      <c r="D2724" s="13" t="str">
        <f>TRIM(INDEX(Orçamentária!C:C,MATCH(Composições!A2724,Orçamentária!A:A,0),1))</f>
        <v>un</v>
      </c>
      <c r="E2724" s="14"/>
      <c r="F2724" s="15" t="s">
        <v>17</v>
      </c>
      <c r="G2724" s="31" t="s">
        <v>1079</v>
      </c>
      <c r="H2724" s="16"/>
      <c r="I2724" s="16" t="str">
        <f>IF(ISNUMBER(G2724),E2724*G2724,"")</f>
        <v/>
      </c>
      <c r="J2724" s="17"/>
      <c r="K2724" s="18"/>
      <c r="L2724" s="174">
        <v>0</v>
      </c>
    </row>
    <row r="2725" spans="1:12" ht="15.75" hidden="1" thickBot="1" x14ac:dyDescent="0.3">
      <c r="A2725" s="181"/>
      <c r="B2725" s="179"/>
      <c r="C2725" s="20"/>
      <c r="D2725" s="20"/>
      <c r="E2725" s="21"/>
      <c r="F2725" s="43"/>
      <c r="G2725" s="32" t="s">
        <v>1079</v>
      </c>
      <c r="H2725" s="20"/>
      <c r="I2725" s="23" t="str">
        <f>IF(ISNUMBER(G2725),E2725*G2725,"")</f>
        <v/>
      </c>
      <c r="J2725" s="24"/>
      <c r="K2725" s="19"/>
      <c r="L2725" s="174">
        <v>0</v>
      </c>
    </row>
    <row r="2726" spans="1:12" ht="15.75" hidden="1" thickBot="1" x14ac:dyDescent="0.3">
      <c r="A2726" s="181"/>
      <c r="B2726" s="179"/>
      <c r="C2726" s="25" t="s">
        <v>134</v>
      </c>
      <c r="D2726" s="25" t="s">
        <v>21</v>
      </c>
      <c r="E2726" s="26">
        <v>0.1</v>
      </c>
      <c r="F2726" s="27" t="s">
        <v>17</v>
      </c>
      <c r="G2726" s="23">
        <v>17.850499999999997</v>
      </c>
      <c r="H2726" s="27" t="s">
        <v>135</v>
      </c>
      <c r="I2726" s="23">
        <f>IF(ISNUMBER(G2726),E2726*G2726,"")</f>
        <v>1.7850499999999998</v>
      </c>
      <c r="J2726" s="28">
        <f>SUM(I2726:I2727)</f>
        <v>2.7350499999999998</v>
      </c>
      <c r="K2726" s="29"/>
      <c r="L2726" s="174">
        <v>0</v>
      </c>
    </row>
    <row r="2727" spans="1:12" ht="39" hidden="1" thickBot="1" x14ac:dyDescent="0.3">
      <c r="A2727" s="181"/>
      <c r="B2727" s="179"/>
      <c r="C2727" s="25" t="s">
        <v>1581</v>
      </c>
      <c r="D2727" s="25" t="s">
        <v>32</v>
      </c>
      <c r="E2727" s="26">
        <v>1</v>
      </c>
      <c r="F2727" s="27" t="s">
        <v>17</v>
      </c>
      <c r="G2727" s="19">
        <v>0.95</v>
      </c>
      <c r="H2727" s="27" t="s">
        <v>4596</v>
      </c>
      <c r="I2727" s="23">
        <f>IF(ISNUMBER(G2727),E2727*G2727,"")</f>
        <v>0.95</v>
      </c>
      <c r="J2727" s="24"/>
      <c r="K2727" s="19"/>
      <c r="L2727" s="174">
        <v>0</v>
      </c>
    </row>
    <row r="2728" spans="1:12" ht="15.75" hidden="1" thickBot="1" x14ac:dyDescent="0.3">
      <c r="A2728" s="182"/>
      <c r="B2728" s="183"/>
      <c r="C2728" s="25"/>
      <c r="D2728" s="25"/>
      <c r="E2728" s="26"/>
      <c r="F2728" s="27"/>
      <c r="G2728" s="19" t="s">
        <v>1079</v>
      </c>
      <c r="H2728" s="27"/>
      <c r="I2728" s="23" t="str">
        <f>IF(ISNUMBER(G2728),E2728*G2728,"")</f>
        <v/>
      </c>
      <c r="J2728" s="24"/>
      <c r="K2728" s="19"/>
      <c r="L2728" s="174">
        <v>0</v>
      </c>
    </row>
    <row r="2729" spans="1:12" ht="15.75" hidden="1" thickBot="1" x14ac:dyDescent="0.3">
      <c r="A2729" s="180" t="s">
        <v>1582</v>
      </c>
      <c r="B2729" s="178" t="str">
        <f>INDEX(Orçamentária!A:B,MATCH(Composições!A2729,Orçamentária!A:A,0),2)</f>
        <v>Facão simples para lateral e bandeira de vidro temperado</v>
      </c>
      <c r="C2729" s="30"/>
      <c r="D2729" s="13" t="str">
        <f>TRIM(INDEX(Orçamentária!C:C,MATCH(Composições!A2729,Orçamentária!A:A,0),1))</f>
        <v>un</v>
      </c>
      <c r="E2729" s="14"/>
      <c r="F2729" s="15" t="s">
        <v>17</v>
      </c>
      <c r="G2729" s="31" t="s">
        <v>1079</v>
      </c>
      <c r="H2729" s="16"/>
      <c r="I2729" s="16" t="str">
        <f>IF(ISNUMBER(G2729),E2729*G2729,"")</f>
        <v/>
      </c>
      <c r="J2729" s="17"/>
      <c r="K2729" s="18"/>
      <c r="L2729" s="174">
        <v>0</v>
      </c>
    </row>
    <row r="2730" spans="1:12" ht="15.75" hidden="1" thickBot="1" x14ac:dyDescent="0.3">
      <c r="A2730" s="181"/>
      <c r="B2730" s="179"/>
      <c r="C2730" s="20"/>
      <c r="D2730" s="20"/>
      <c r="E2730" s="21"/>
      <c r="F2730" s="43"/>
      <c r="G2730" s="32" t="s">
        <v>1079</v>
      </c>
      <c r="H2730" s="20"/>
      <c r="I2730" s="23" t="str">
        <f>IF(ISNUMBER(G2730),E2730*G2730,"")</f>
        <v/>
      </c>
      <c r="J2730" s="24"/>
      <c r="K2730" s="19"/>
      <c r="L2730" s="174">
        <v>0</v>
      </c>
    </row>
    <row r="2731" spans="1:12" ht="15.75" hidden="1" thickBot="1" x14ac:dyDescent="0.3">
      <c r="A2731" s="181"/>
      <c r="B2731" s="179"/>
      <c r="C2731" s="25" t="s">
        <v>134</v>
      </c>
      <c r="D2731" s="25" t="s">
        <v>21</v>
      </c>
      <c r="E2731" s="26">
        <v>0.4</v>
      </c>
      <c r="F2731" s="27" t="s">
        <v>17</v>
      </c>
      <c r="G2731" s="23">
        <v>17.850499999999997</v>
      </c>
      <c r="H2731" s="27" t="s">
        <v>135</v>
      </c>
      <c r="I2731" s="23">
        <f>IF(ISNUMBER(G2731),E2731*G2731,"")</f>
        <v>7.1401999999999992</v>
      </c>
      <c r="J2731" s="28">
        <f>SUM(I2731:I2732)</f>
        <v>8.0901999999999994</v>
      </c>
      <c r="K2731" s="29"/>
      <c r="L2731" s="174">
        <v>0</v>
      </c>
    </row>
    <row r="2732" spans="1:12" ht="39" hidden="1" thickBot="1" x14ac:dyDescent="0.3">
      <c r="A2732" s="181"/>
      <c r="B2732" s="179"/>
      <c r="C2732" s="25" t="s">
        <v>1583</v>
      </c>
      <c r="D2732" s="25" t="s">
        <v>32</v>
      </c>
      <c r="E2732" s="26">
        <v>1</v>
      </c>
      <c r="F2732" s="27" t="s">
        <v>17</v>
      </c>
      <c r="G2732" s="19">
        <v>0.95</v>
      </c>
      <c r="H2732" s="27" t="s">
        <v>4597</v>
      </c>
      <c r="I2732" s="23">
        <f>IF(ISNUMBER(G2732),E2732*G2732,"")</f>
        <v>0.95</v>
      </c>
      <c r="J2732" s="24"/>
      <c r="K2732" s="19"/>
      <c r="L2732" s="174">
        <v>0</v>
      </c>
    </row>
    <row r="2733" spans="1:12" ht="15.75" hidden="1" thickBot="1" x14ac:dyDescent="0.3">
      <c r="A2733" s="182"/>
      <c r="B2733" s="183"/>
      <c r="C2733" s="25"/>
      <c r="D2733" s="25"/>
      <c r="E2733" s="26"/>
      <c r="F2733" s="27"/>
      <c r="G2733" s="19" t="s">
        <v>1079</v>
      </c>
      <c r="H2733" s="27"/>
      <c r="I2733" s="23" t="str">
        <f>IF(ISNUMBER(G2733),E2733*G2733,"")</f>
        <v/>
      </c>
      <c r="J2733" s="24"/>
      <c r="K2733" s="19"/>
      <c r="L2733" s="174">
        <v>0</v>
      </c>
    </row>
    <row r="2734" spans="1:12" ht="15.75" hidden="1" thickBot="1" x14ac:dyDescent="0.3">
      <c r="A2734" s="180" t="s">
        <v>1584</v>
      </c>
      <c r="B2734" s="178" t="str">
        <f>INDEX(Orçamentária!A:B,MATCH(Composições!A2734,Orçamentária!A:A,0),2)</f>
        <v>Fechadura de pressão para porta de abrir em vidro temperado</v>
      </c>
      <c r="C2734" s="30"/>
      <c r="D2734" s="13" t="str">
        <f>TRIM(INDEX(Orçamentária!C:C,MATCH(Composições!A2734,Orçamentária!A:A,0),1))</f>
        <v>un</v>
      </c>
      <c r="E2734" s="14"/>
      <c r="F2734" s="15" t="s">
        <v>17</v>
      </c>
      <c r="G2734" s="31" t="s">
        <v>1079</v>
      </c>
      <c r="H2734" s="16"/>
      <c r="I2734" s="16" t="str">
        <f>IF(ISNUMBER(G2734),E2734*G2734,"")</f>
        <v/>
      </c>
      <c r="J2734" s="17"/>
      <c r="K2734" s="18"/>
      <c r="L2734" s="174">
        <v>0</v>
      </c>
    </row>
    <row r="2735" spans="1:12" ht="15.75" hidden="1" thickBot="1" x14ac:dyDescent="0.3">
      <c r="A2735" s="181"/>
      <c r="B2735" s="179"/>
      <c r="C2735" s="20"/>
      <c r="D2735" s="20"/>
      <c r="E2735" s="21"/>
      <c r="F2735" s="43"/>
      <c r="G2735" s="32" t="s">
        <v>1079</v>
      </c>
      <c r="H2735" s="20"/>
      <c r="I2735" s="23" t="str">
        <f>IF(ISNUMBER(G2735),E2735*G2735,"")</f>
        <v/>
      </c>
      <c r="J2735" s="24"/>
      <c r="K2735" s="19"/>
      <c r="L2735" s="174">
        <v>0</v>
      </c>
    </row>
    <row r="2736" spans="1:12" ht="15.75" hidden="1" thickBot="1" x14ac:dyDescent="0.3">
      <c r="A2736" s="181"/>
      <c r="B2736" s="179"/>
      <c r="C2736" s="25" t="s">
        <v>134</v>
      </c>
      <c r="D2736" s="25" t="s">
        <v>21</v>
      </c>
      <c r="E2736" s="26">
        <v>0.4</v>
      </c>
      <c r="F2736" s="27" t="s">
        <v>17</v>
      </c>
      <c r="G2736" s="23">
        <v>17.850499999999997</v>
      </c>
      <c r="H2736" s="27" t="s">
        <v>135</v>
      </c>
      <c r="I2736" s="23">
        <f>IF(ISNUMBER(G2736),E2736*G2736,"")</f>
        <v>7.1401999999999992</v>
      </c>
      <c r="J2736" s="28">
        <f>SUM(I2736:I2737)</f>
        <v>7.1401999999999992</v>
      </c>
      <c r="K2736" s="29"/>
      <c r="L2736" s="174">
        <v>0</v>
      </c>
    </row>
    <row r="2737" spans="1:12" ht="39" hidden="1" thickBot="1" x14ac:dyDescent="0.3">
      <c r="A2737" s="181"/>
      <c r="B2737" s="179"/>
      <c r="C2737" s="25" t="s">
        <v>1585</v>
      </c>
      <c r="D2737" s="25" t="s">
        <v>32</v>
      </c>
      <c r="E2737" s="26">
        <v>1</v>
      </c>
      <c r="F2737" s="27" t="s">
        <v>17</v>
      </c>
      <c r="G2737" s="19" t="s">
        <v>1079</v>
      </c>
      <c r="H2737" s="27" t="s">
        <v>33</v>
      </c>
      <c r="I2737" s="23" t="str">
        <f>IF(ISNUMBER(G2737),E2737*G2737,"")</f>
        <v/>
      </c>
      <c r="J2737" s="24"/>
      <c r="K2737" s="19"/>
      <c r="L2737" s="174">
        <v>0</v>
      </c>
    </row>
    <row r="2738" spans="1:12" ht="15.75" hidden="1" thickBot="1" x14ac:dyDescent="0.3">
      <c r="A2738" s="182"/>
      <c r="B2738" s="183"/>
      <c r="C2738" s="25"/>
      <c r="D2738" s="25"/>
      <c r="E2738" s="26"/>
      <c r="F2738" s="27"/>
      <c r="G2738" s="19" t="s">
        <v>1079</v>
      </c>
      <c r="H2738" s="27"/>
      <c r="I2738" s="23" t="str">
        <f>IF(ISNUMBER(G2738),E2738*G2738,"")</f>
        <v/>
      </c>
      <c r="J2738" s="24"/>
      <c r="K2738" s="19"/>
      <c r="L2738" s="174">
        <v>0</v>
      </c>
    </row>
    <row r="2739" spans="1:12" ht="15.75" hidden="1" thickBot="1" x14ac:dyDescent="0.3">
      <c r="A2739" s="180" t="s">
        <v>1586</v>
      </c>
      <c r="B2739" s="178" t="str">
        <f>INDEX(Orçamentária!A:B,MATCH(Composições!A2739,Orçamentária!A:A,0),2)</f>
        <v>Suporte de união, com miolo, para vidro temperado</v>
      </c>
      <c r="C2739" s="30"/>
      <c r="D2739" s="13" t="str">
        <f>TRIM(INDEX(Orçamentária!C:C,MATCH(Composições!A2739,Orçamentária!A:A,0),1))</f>
        <v>un</v>
      </c>
      <c r="E2739" s="14"/>
      <c r="F2739" s="15" t="s">
        <v>17</v>
      </c>
      <c r="G2739" s="31" t="s">
        <v>1079</v>
      </c>
      <c r="H2739" s="16"/>
      <c r="I2739" s="16" t="str">
        <f>IF(ISNUMBER(G2739),E2739*G2739,"")</f>
        <v/>
      </c>
      <c r="J2739" s="17"/>
      <c r="K2739" s="18"/>
      <c r="L2739" s="174">
        <v>0</v>
      </c>
    </row>
    <row r="2740" spans="1:12" ht="15.75" hidden="1" thickBot="1" x14ac:dyDescent="0.3">
      <c r="A2740" s="181"/>
      <c r="B2740" s="179"/>
      <c r="C2740" s="20"/>
      <c r="D2740" s="20"/>
      <c r="E2740" s="21"/>
      <c r="F2740" s="43"/>
      <c r="G2740" s="32" t="s">
        <v>1079</v>
      </c>
      <c r="H2740" s="20"/>
      <c r="I2740" s="23" t="str">
        <f>IF(ISNUMBER(G2740),E2740*G2740,"")</f>
        <v/>
      </c>
      <c r="J2740" s="24"/>
      <c r="K2740" s="19"/>
      <c r="L2740" s="174">
        <v>0</v>
      </c>
    </row>
    <row r="2741" spans="1:12" ht="15.75" hidden="1" thickBot="1" x14ac:dyDescent="0.3">
      <c r="A2741" s="181"/>
      <c r="B2741" s="179"/>
      <c r="C2741" s="25" t="s">
        <v>134</v>
      </c>
      <c r="D2741" s="25" t="s">
        <v>21</v>
      </c>
      <c r="E2741" s="26">
        <v>0.3</v>
      </c>
      <c r="F2741" s="27" t="s">
        <v>17</v>
      </c>
      <c r="G2741" s="23">
        <v>17.850499999999997</v>
      </c>
      <c r="H2741" s="27" t="s">
        <v>135</v>
      </c>
      <c r="I2741" s="23">
        <f>IF(ISNUMBER(G2741),E2741*G2741,"")</f>
        <v>5.3551499999999992</v>
      </c>
      <c r="J2741" s="28">
        <f>SUM(I2741:I2742)</f>
        <v>6.3051499999999994</v>
      </c>
      <c r="K2741" s="29"/>
      <c r="L2741" s="174">
        <v>0</v>
      </c>
    </row>
    <row r="2742" spans="1:12" ht="26.25" hidden="1" thickBot="1" x14ac:dyDescent="0.3">
      <c r="A2742" s="181"/>
      <c r="B2742" s="179"/>
      <c r="C2742" s="25" t="s">
        <v>1587</v>
      </c>
      <c r="D2742" s="25" t="s">
        <v>32</v>
      </c>
      <c r="E2742" s="26">
        <v>1</v>
      </c>
      <c r="F2742" s="27" t="s">
        <v>17</v>
      </c>
      <c r="G2742" s="19">
        <v>0.95</v>
      </c>
      <c r="H2742" s="27" t="s">
        <v>4593</v>
      </c>
      <c r="I2742" s="23">
        <f>IF(ISNUMBER(G2742),E2742*G2742,"")</f>
        <v>0.95</v>
      </c>
      <c r="J2742" s="24"/>
      <c r="K2742" s="19"/>
      <c r="L2742" s="174">
        <v>0</v>
      </c>
    </row>
    <row r="2743" spans="1:12" ht="15.75" hidden="1" thickBot="1" x14ac:dyDescent="0.3">
      <c r="A2743" s="182"/>
      <c r="B2743" s="183"/>
      <c r="C2743" s="25"/>
      <c r="D2743" s="25"/>
      <c r="E2743" s="26"/>
      <c r="F2743" s="27"/>
      <c r="G2743" s="19" t="s">
        <v>1079</v>
      </c>
      <c r="H2743" s="27"/>
      <c r="I2743" s="23" t="str">
        <f>IF(ISNUMBER(G2743),E2743*G2743,"")</f>
        <v/>
      </c>
      <c r="J2743" s="24"/>
      <c r="K2743" s="19"/>
      <c r="L2743" s="174">
        <v>0</v>
      </c>
    </row>
    <row r="2744" spans="1:12" ht="15.75" hidden="1" thickBot="1" x14ac:dyDescent="0.3">
      <c r="A2744" s="180" t="s">
        <v>1588</v>
      </c>
      <c r="B2744" s="178" t="str">
        <f>INDEX(Orçamentária!A:B,MATCH(Composições!A2744,Orçamentária!A:A,0),2)</f>
        <v>Suporte para basculante e pivotante de vidro temperado</v>
      </c>
      <c r="C2744" s="30"/>
      <c r="D2744" s="13" t="str">
        <f>TRIM(INDEX(Orçamentária!C:C,MATCH(Composições!A2744,Orçamentária!A:A,0),1))</f>
        <v>un</v>
      </c>
      <c r="E2744" s="14"/>
      <c r="F2744" s="15" t="s">
        <v>17</v>
      </c>
      <c r="G2744" s="31" t="s">
        <v>1079</v>
      </c>
      <c r="H2744" s="16"/>
      <c r="I2744" s="16" t="str">
        <f>IF(ISNUMBER(G2744),E2744*G2744,"")</f>
        <v/>
      </c>
      <c r="J2744" s="17"/>
      <c r="K2744" s="18"/>
      <c r="L2744" s="174">
        <v>0</v>
      </c>
    </row>
    <row r="2745" spans="1:12" ht="15.75" hidden="1" thickBot="1" x14ac:dyDescent="0.3">
      <c r="A2745" s="181"/>
      <c r="B2745" s="179"/>
      <c r="C2745" s="20"/>
      <c r="D2745" s="20"/>
      <c r="E2745" s="21"/>
      <c r="F2745" s="43"/>
      <c r="G2745" s="32" t="s">
        <v>1079</v>
      </c>
      <c r="H2745" s="20"/>
      <c r="I2745" s="23" t="str">
        <f>IF(ISNUMBER(G2745),E2745*G2745,"")</f>
        <v/>
      </c>
      <c r="J2745" s="24"/>
      <c r="K2745" s="19"/>
      <c r="L2745" s="174">
        <v>0</v>
      </c>
    </row>
    <row r="2746" spans="1:12" ht="15.75" hidden="1" thickBot="1" x14ac:dyDescent="0.3">
      <c r="A2746" s="181"/>
      <c r="B2746" s="179"/>
      <c r="C2746" s="25" t="s">
        <v>134</v>
      </c>
      <c r="D2746" s="25" t="s">
        <v>21</v>
      </c>
      <c r="E2746" s="26">
        <v>0.2</v>
      </c>
      <c r="F2746" s="27" t="s">
        <v>17</v>
      </c>
      <c r="G2746" s="23">
        <v>17.850499999999997</v>
      </c>
      <c r="H2746" s="27" t="s">
        <v>135</v>
      </c>
      <c r="I2746" s="23">
        <f>IF(ISNUMBER(G2746),E2746*G2746,"")</f>
        <v>3.5700999999999996</v>
      </c>
      <c r="J2746" s="28">
        <f>SUM(I2746:I2747)</f>
        <v>4.5200999999999993</v>
      </c>
      <c r="K2746" s="29"/>
      <c r="L2746" s="174">
        <v>0</v>
      </c>
    </row>
    <row r="2747" spans="1:12" ht="26.25" hidden="1" thickBot="1" x14ac:dyDescent="0.3">
      <c r="A2747" s="181"/>
      <c r="B2747" s="179"/>
      <c r="C2747" s="25" t="s">
        <v>1589</v>
      </c>
      <c r="D2747" s="25" t="s">
        <v>32</v>
      </c>
      <c r="E2747" s="26">
        <v>1</v>
      </c>
      <c r="F2747" s="27" t="s">
        <v>17</v>
      </c>
      <c r="G2747" s="19">
        <v>0.95</v>
      </c>
      <c r="H2747" s="27" t="s">
        <v>4593</v>
      </c>
      <c r="I2747" s="23">
        <f>IF(ISNUMBER(G2747),E2747*G2747,"")</f>
        <v>0.95</v>
      </c>
      <c r="J2747" s="24"/>
      <c r="K2747" s="19"/>
      <c r="L2747" s="174">
        <v>0</v>
      </c>
    </row>
    <row r="2748" spans="1:12" ht="15.75" hidden="1" thickBot="1" x14ac:dyDescent="0.3">
      <c r="A2748" s="182"/>
      <c r="B2748" s="183"/>
      <c r="C2748" s="25"/>
      <c r="D2748" s="25"/>
      <c r="E2748" s="26"/>
      <c r="F2748" s="27"/>
      <c r="G2748" s="19" t="s">
        <v>1079</v>
      </c>
      <c r="H2748" s="27"/>
      <c r="I2748" s="23" t="str">
        <f>IF(ISNUMBER(G2748),E2748*G2748,"")</f>
        <v/>
      </c>
      <c r="J2748" s="24"/>
      <c r="K2748" s="19"/>
      <c r="L2748" s="174">
        <v>0</v>
      </c>
    </row>
    <row r="2749" spans="1:12" ht="15.75" hidden="1" thickBot="1" x14ac:dyDescent="0.3">
      <c r="A2749" s="180" t="s">
        <v>1590</v>
      </c>
      <c r="B2749" s="178" t="str">
        <f>INDEX(Orçamentária!A:B,MATCH(Composições!A2749,Orçamentária!A:A,0),2)</f>
        <v>Trinco central para basculante em vidro temperado</v>
      </c>
      <c r="C2749" s="30"/>
      <c r="D2749" s="13" t="str">
        <f>TRIM(INDEX(Orçamentária!C:C,MATCH(Composições!A2749,Orçamentária!A:A,0),1))</f>
        <v>un</v>
      </c>
      <c r="E2749" s="14"/>
      <c r="F2749" s="15" t="s">
        <v>17</v>
      </c>
      <c r="G2749" s="31" t="s">
        <v>1079</v>
      </c>
      <c r="H2749" s="16"/>
      <c r="I2749" s="16" t="str">
        <f>IF(ISNUMBER(G2749),E2749*G2749,"")</f>
        <v/>
      </c>
      <c r="J2749" s="17"/>
      <c r="K2749" s="18"/>
      <c r="L2749" s="174">
        <v>0</v>
      </c>
    </row>
    <row r="2750" spans="1:12" ht="15.75" hidden="1" thickBot="1" x14ac:dyDescent="0.3">
      <c r="A2750" s="181"/>
      <c r="B2750" s="179"/>
      <c r="C2750" s="20"/>
      <c r="D2750" s="20"/>
      <c r="E2750" s="21"/>
      <c r="F2750" s="43"/>
      <c r="G2750" s="32" t="s">
        <v>1079</v>
      </c>
      <c r="H2750" s="20"/>
      <c r="I2750" s="23" t="str">
        <f>IF(ISNUMBER(G2750),E2750*G2750,"")</f>
        <v/>
      </c>
      <c r="J2750" s="24"/>
      <c r="K2750" s="19"/>
      <c r="L2750" s="174">
        <v>0</v>
      </c>
    </row>
    <row r="2751" spans="1:12" ht="15.75" hidden="1" thickBot="1" x14ac:dyDescent="0.3">
      <c r="A2751" s="181"/>
      <c r="B2751" s="179"/>
      <c r="C2751" s="25" t="s">
        <v>134</v>
      </c>
      <c r="D2751" s="25" t="s">
        <v>21</v>
      </c>
      <c r="E2751" s="26">
        <v>0.2</v>
      </c>
      <c r="F2751" s="27" t="s">
        <v>17</v>
      </c>
      <c r="G2751" s="23">
        <v>17.850499999999997</v>
      </c>
      <c r="H2751" s="27" t="s">
        <v>135</v>
      </c>
      <c r="I2751" s="23">
        <f>IF(ISNUMBER(G2751),E2751*G2751,"")</f>
        <v>3.5700999999999996</v>
      </c>
      <c r="J2751" s="28">
        <f>SUM(I2751:I2752)</f>
        <v>3.5700999999999996</v>
      </c>
      <c r="K2751" s="29"/>
      <c r="L2751" s="174">
        <v>0</v>
      </c>
    </row>
    <row r="2752" spans="1:12" ht="26.25" hidden="1" thickBot="1" x14ac:dyDescent="0.3">
      <c r="A2752" s="181"/>
      <c r="B2752" s="179"/>
      <c r="C2752" s="25" t="s">
        <v>1591</v>
      </c>
      <c r="D2752" s="36" t="s">
        <v>32</v>
      </c>
      <c r="E2752" s="26">
        <v>1</v>
      </c>
      <c r="F2752" s="27" t="s">
        <v>17</v>
      </c>
      <c r="G2752" s="19">
        <v>0</v>
      </c>
      <c r="H2752" s="27" t="s">
        <v>4598</v>
      </c>
      <c r="I2752" s="23">
        <f>IF(ISNUMBER(G2752),E2752*G2752,"")</f>
        <v>0</v>
      </c>
      <c r="J2752" s="24"/>
      <c r="K2752" s="19"/>
      <c r="L2752" s="174">
        <v>0</v>
      </c>
    </row>
    <row r="2753" spans="1:12" ht="15.75" hidden="1" thickBot="1" x14ac:dyDescent="0.3">
      <c r="A2753" s="182"/>
      <c r="B2753" s="183"/>
      <c r="C2753" s="25"/>
      <c r="D2753" s="25"/>
      <c r="E2753" s="26"/>
      <c r="F2753" s="27"/>
      <c r="G2753" s="19" t="s">
        <v>1079</v>
      </c>
      <c r="H2753" s="27"/>
      <c r="I2753" s="23" t="str">
        <f>IF(ISNUMBER(G2753),E2753*G2753,"")</f>
        <v/>
      </c>
      <c r="J2753" s="24"/>
      <c r="K2753" s="19"/>
      <c r="L2753" s="174">
        <v>0</v>
      </c>
    </row>
    <row r="2754" spans="1:12" ht="15.75" hidden="1" thickBot="1" x14ac:dyDescent="0.3">
      <c r="A2754" s="180" t="s">
        <v>1592</v>
      </c>
      <c r="B2754" s="178" t="str">
        <f>INDEX(Orçamentária!A:B,MATCH(Composições!A2754,Orçamentária!A:A,0),2)</f>
        <v>Vidro laminado incolor de 8mm de espessura</v>
      </c>
      <c r="C2754" s="30"/>
      <c r="D2754" s="13" t="str">
        <f>TRIM(INDEX(Orçamentária!C:C,MATCH(Composições!A2754,Orçamentária!A:A,0),1))</f>
        <v>m2</v>
      </c>
      <c r="E2754" s="14"/>
      <c r="F2754" s="15" t="s">
        <v>1593</v>
      </c>
      <c r="G2754" s="31" t="s">
        <v>1079</v>
      </c>
      <c r="H2754" s="16"/>
      <c r="I2754" s="16" t="str">
        <f>IF(ISNUMBER(G2754),E2754*G2754,"")</f>
        <v/>
      </c>
      <c r="J2754" s="17"/>
      <c r="K2754" s="18"/>
      <c r="L2754" s="174">
        <v>0</v>
      </c>
    </row>
    <row r="2755" spans="1:12" ht="15.75" hidden="1" thickBot="1" x14ac:dyDescent="0.3">
      <c r="A2755" s="181"/>
      <c r="B2755" s="179"/>
      <c r="C2755" s="20"/>
      <c r="D2755" s="20"/>
      <c r="E2755" s="21"/>
      <c r="F2755" s="43"/>
      <c r="G2755" s="32" t="s">
        <v>1079</v>
      </c>
      <c r="H2755" s="20"/>
      <c r="I2755" s="23" t="str">
        <f>IF(ISNUMBER(G2755),E2755*G2755,"")</f>
        <v/>
      </c>
      <c r="J2755" s="24"/>
      <c r="K2755" s="19"/>
      <c r="L2755" s="174">
        <v>0</v>
      </c>
    </row>
    <row r="2756" spans="1:12" ht="15.75" hidden="1" thickBot="1" x14ac:dyDescent="0.3">
      <c r="A2756" s="181"/>
      <c r="B2756" s="179"/>
      <c r="C2756" s="25" t="s">
        <v>1594</v>
      </c>
      <c r="D2756" s="36" t="s">
        <v>189</v>
      </c>
      <c r="E2756" s="26">
        <v>1</v>
      </c>
      <c r="F2756" s="27" t="s">
        <v>1595</v>
      </c>
      <c r="G2756" s="23">
        <v>0</v>
      </c>
      <c r="H2756" s="27" t="s">
        <v>4599</v>
      </c>
      <c r="I2756" s="23">
        <f>IF(ISNUMBER(G2756),E2756*G2756,"")</f>
        <v>0</v>
      </c>
      <c r="J2756" s="28">
        <f>SUM(I2756:I2759)</f>
        <v>25.749749999999999</v>
      </c>
      <c r="K2756" s="29"/>
      <c r="L2756" s="174">
        <v>0</v>
      </c>
    </row>
    <row r="2757" spans="1:12" ht="15.75" hidden="1" thickBot="1" x14ac:dyDescent="0.3">
      <c r="A2757" s="181"/>
      <c r="B2757" s="179"/>
      <c r="C2757" s="25" t="s">
        <v>134</v>
      </c>
      <c r="D2757" s="36" t="s">
        <v>21</v>
      </c>
      <c r="E2757" s="26">
        <v>0.5</v>
      </c>
      <c r="F2757" s="27" t="s">
        <v>1517</v>
      </c>
      <c r="G2757" s="23">
        <v>17.850499999999997</v>
      </c>
      <c r="H2757" s="27" t="s">
        <v>135</v>
      </c>
      <c r="I2757" s="23">
        <f>IF(ISNUMBER(G2757),E2757*G2757,"")</f>
        <v>8.9252499999999984</v>
      </c>
      <c r="J2757" s="24"/>
      <c r="K2757" s="19"/>
      <c r="L2757" s="174">
        <v>0</v>
      </c>
    </row>
    <row r="2758" spans="1:12" ht="15.75" hidden="1" thickBot="1" x14ac:dyDescent="0.3">
      <c r="A2758" s="181"/>
      <c r="B2758" s="179"/>
      <c r="C2758" s="25" t="s">
        <v>38</v>
      </c>
      <c r="D2758" s="36" t="s">
        <v>21</v>
      </c>
      <c r="E2758" s="26">
        <v>0.5</v>
      </c>
      <c r="F2758" s="27" t="s">
        <v>1517</v>
      </c>
      <c r="G2758" s="19">
        <v>14.325999999999999</v>
      </c>
      <c r="H2758" s="27" t="s">
        <v>39</v>
      </c>
      <c r="I2758" s="23">
        <f>IF(ISNUMBER(G2758),E2758*G2758,"")</f>
        <v>7.1629999999999994</v>
      </c>
      <c r="J2758" s="24"/>
      <c r="K2758" s="19"/>
      <c r="L2758" s="174">
        <v>0</v>
      </c>
    </row>
    <row r="2759" spans="1:12" ht="15.75" hidden="1" thickBot="1" x14ac:dyDescent="0.3">
      <c r="A2759" s="181"/>
      <c r="B2759" s="179"/>
      <c r="C2759" s="25" t="s">
        <v>608</v>
      </c>
      <c r="D2759" s="36" t="s">
        <v>1511</v>
      </c>
      <c r="E2759" s="26">
        <v>1.5</v>
      </c>
      <c r="F2759" s="27" t="s">
        <v>1517</v>
      </c>
      <c r="G2759" s="19">
        <v>6.4409999999999998</v>
      </c>
      <c r="H2759" s="27" t="s">
        <v>609</v>
      </c>
      <c r="I2759" s="23">
        <f>IF(ISNUMBER(G2759),E2759*G2759,"")</f>
        <v>9.6615000000000002</v>
      </c>
      <c r="J2759" s="24"/>
      <c r="K2759" s="19"/>
      <c r="L2759" s="174">
        <v>0</v>
      </c>
    </row>
    <row r="2760" spans="1:12" ht="15.75" hidden="1" thickBot="1" x14ac:dyDescent="0.3">
      <c r="A2760" s="182"/>
      <c r="B2760" s="183"/>
      <c r="C2760" s="25"/>
      <c r="D2760" s="25"/>
      <c r="E2760" s="26"/>
      <c r="F2760" s="27"/>
      <c r="G2760" s="19" t="s">
        <v>1079</v>
      </c>
      <c r="H2760" s="27"/>
      <c r="I2760" s="23" t="str">
        <f>IF(ISNUMBER(G2760),E2760*G2760,"")</f>
        <v/>
      </c>
      <c r="J2760" s="24"/>
      <c r="K2760" s="19"/>
      <c r="L2760" s="174">
        <v>0</v>
      </c>
    </row>
    <row r="2761" spans="1:12" ht="15.75" hidden="1" thickBot="1" x14ac:dyDescent="0.3">
      <c r="A2761" s="180" t="s">
        <v>1596</v>
      </c>
      <c r="B2761" s="178" t="str">
        <f>INDEX(Orçamentária!A:B,MATCH(Composições!A2761,Orçamentária!A:A,0),2)</f>
        <v>Dobradiça automática para box de vidro temperado</v>
      </c>
      <c r="C2761" s="30"/>
      <c r="D2761" s="13" t="str">
        <f>TRIM(INDEX(Orçamentária!C:C,MATCH(Composições!A2761,Orçamentária!A:A,0),1))</f>
        <v>un</v>
      </c>
      <c r="E2761" s="14"/>
      <c r="F2761" s="15" t="s">
        <v>17</v>
      </c>
      <c r="G2761" s="31" t="s">
        <v>1079</v>
      </c>
      <c r="H2761" s="16"/>
      <c r="I2761" s="16" t="str">
        <f>IF(ISNUMBER(G2761),E2761*G2761,"")</f>
        <v/>
      </c>
      <c r="J2761" s="17"/>
      <c r="K2761" s="18"/>
      <c r="L2761" s="174">
        <v>0</v>
      </c>
    </row>
    <row r="2762" spans="1:12" ht="15.75" hidden="1" thickBot="1" x14ac:dyDescent="0.3">
      <c r="A2762" s="181"/>
      <c r="B2762" s="179"/>
      <c r="C2762" s="20"/>
      <c r="D2762" s="20"/>
      <c r="E2762" s="21"/>
      <c r="F2762" s="43"/>
      <c r="G2762" s="32" t="s">
        <v>1079</v>
      </c>
      <c r="H2762" s="20"/>
      <c r="I2762" s="23" t="str">
        <f>IF(ISNUMBER(G2762),E2762*G2762,"")</f>
        <v/>
      </c>
      <c r="J2762" s="24"/>
      <c r="K2762" s="19"/>
      <c r="L2762" s="174">
        <v>0</v>
      </c>
    </row>
    <row r="2763" spans="1:12" ht="15.75" hidden="1" thickBot="1" x14ac:dyDescent="0.3">
      <c r="A2763" s="181"/>
      <c r="B2763" s="179"/>
      <c r="C2763" s="25" t="s">
        <v>134</v>
      </c>
      <c r="D2763" s="25" t="s">
        <v>21</v>
      </c>
      <c r="E2763" s="26">
        <v>0.2</v>
      </c>
      <c r="F2763" s="27" t="s">
        <v>17</v>
      </c>
      <c r="G2763" s="23">
        <v>17.850499999999997</v>
      </c>
      <c r="H2763" s="27" t="s">
        <v>135</v>
      </c>
      <c r="I2763" s="23">
        <f>IF(ISNUMBER(G2763),E2763*G2763,"")</f>
        <v>3.5700999999999996</v>
      </c>
      <c r="J2763" s="28">
        <f>SUM(I2763:I2764)</f>
        <v>3.5700999999999996</v>
      </c>
      <c r="K2763" s="29"/>
      <c r="L2763" s="174">
        <v>0</v>
      </c>
    </row>
    <row r="2764" spans="1:12" ht="26.25" hidden="1" thickBot="1" x14ac:dyDescent="0.3">
      <c r="A2764" s="181"/>
      <c r="B2764" s="179"/>
      <c r="C2764" s="25" t="s">
        <v>1597</v>
      </c>
      <c r="D2764" s="25" t="s">
        <v>32</v>
      </c>
      <c r="E2764" s="26">
        <v>1</v>
      </c>
      <c r="F2764" s="27" t="s">
        <v>17</v>
      </c>
      <c r="G2764" s="19" t="s">
        <v>1079</v>
      </c>
      <c r="H2764" s="27" t="s">
        <v>33</v>
      </c>
      <c r="I2764" s="23" t="str">
        <f>IF(ISNUMBER(G2764),E2764*G2764,"")</f>
        <v/>
      </c>
      <c r="J2764" s="24"/>
      <c r="K2764" s="19"/>
      <c r="L2764" s="174">
        <v>0</v>
      </c>
    </row>
    <row r="2765" spans="1:12" ht="15.75" hidden="1" thickBot="1" x14ac:dyDescent="0.3">
      <c r="A2765" s="182"/>
      <c r="B2765" s="183"/>
      <c r="C2765" s="25"/>
      <c r="D2765" s="25"/>
      <c r="E2765" s="26"/>
      <c r="F2765" s="27"/>
      <c r="G2765" s="19" t="s">
        <v>1079</v>
      </c>
      <c r="H2765" s="27"/>
      <c r="I2765" s="23" t="str">
        <f>IF(ISNUMBER(G2765),E2765*G2765,"")</f>
        <v/>
      </c>
      <c r="J2765" s="24"/>
      <c r="K2765" s="19"/>
      <c r="L2765" s="174">
        <v>0</v>
      </c>
    </row>
    <row r="2766" spans="1:12" ht="15.75" hidden="1" thickBot="1" x14ac:dyDescent="0.3">
      <c r="A2766" s="180" t="s">
        <v>1598</v>
      </c>
      <c r="B2766" s="178" t="str">
        <f>INDEX(Orçamentária!A:B,MATCH(Composições!A2766,Orçamentária!A:A,0),2)</f>
        <v>Dobradiça horizontal para vidro basculante com trinco</v>
      </c>
      <c r="C2766" s="30"/>
      <c r="D2766" s="13" t="str">
        <f>TRIM(INDEX(Orçamentária!C:C,MATCH(Composições!A2766,Orçamentária!A:A,0),1))</f>
        <v>un</v>
      </c>
      <c r="E2766" s="14"/>
      <c r="F2766" s="15" t="str">
        <f>F2768</f>
        <v>Senado Federal</v>
      </c>
      <c r="G2766" s="31" t="s">
        <v>1079</v>
      </c>
      <c r="H2766" s="16"/>
      <c r="I2766" s="16" t="str">
        <f>IF(ISNUMBER(G2766),E2766*G2766,"")</f>
        <v/>
      </c>
      <c r="J2766" s="17"/>
      <c r="K2766" s="18"/>
      <c r="L2766" s="174">
        <v>0</v>
      </c>
    </row>
    <row r="2767" spans="1:12" ht="15.75" hidden="1" thickBot="1" x14ac:dyDescent="0.3">
      <c r="A2767" s="181"/>
      <c r="B2767" s="179"/>
      <c r="C2767" s="20"/>
      <c r="D2767" s="20"/>
      <c r="E2767" s="21"/>
      <c r="F2767" s="43"/>
      <c r="G2767" s="32" t="s">
        <v>1079</v>
      </c>
      <c r="H2767" s="20"/>
      <c r="I2767" s="23" t="str">
        <f>IF(ISNUMBER(G2767),E2767*G2767,"")</f>
        <v/>
      </c>
      <c r="J2767" s="24"/>
      <c r="K2767" s="19"/>
      <c r="L2767" s="174">
        <v>0</v>
      </c>
    </row>
    <row r="2768" spans="1:12" ht="15.75" hidden="1" thickBot="1" x14ac:dyDescent="0.3">
      <c r="A2768" s="181"/>
      <c r="B2768" s="179"/>
      <c r="C2768" s="25" t="s">
        <v>134</v>
      </c>
      <c r="D2768" s="25" t="s">
        <v>21</v>
      </c>
      <c r="E2768" s="26">
        <v>0.2</v>
      </c>
      <c r="F2768" s="27" t="s">
        <v>17</v>
      </c>
      <c r="G2768" s="23">
        <v>17.850499999999997</v>
      </c>
      <c r="H2768" s="27" t="s">
        <v>135</v>
      </c>
      <c r="I2768" s="23">
        <f>IF(ISNUMBER(G2768),E2768*G2768,"")</f>
        <v>3.5700999999999996</v>
      </c>
      <c r="J2768" s="28">
        <f>SUM(I2768:I2769)</f>
        <v>3.5700999999999996</v>
      </c>
      <c r="K2768" s="29"/>
      <c r="L2768" s="174">
        <v>0</v>
      </c>
    </row>
    <row r="2769" spans="1:12" ht="39" hidden="1" thickBot="1" x14ac:dyDescent="0.3">
      <c r="A2769" s="181"/>
      <c r="B2769" s="179"/>
      <c r="C2769" s="25" t="s">
        <v>1599</v>
      </c>
      <c r="D2769" s="25" t="s">
        <v>32</v>
      </c>
      <c r="E2769" s="26">
        <v>1</v>
      </c>
      <c r="F2769" s="27" t="s">
        <v>17</v>
      </c>
      <c r="G2769" s="19" t="s">
        <v>1079</v>
      </c>
      <c r="H2769" s="27" t="s">
        <v>33</v>
      </c>
      <c r="I2769" s="23" t="str">
        <f>IF(ISNUMBER(G2769),E2769*G2769,"")</f>
        <v/>
      </c>
      <c r="J2769" s="24"/>
      <c r="K2769" s="19"/>
      <c r="L2769" s="174">
        <v>0</v>
      </c>
    </row>
    <row r="2770" spans="1:12" ht="15.75" hidden="1" thickBot="1" x14ac:dyDescent="0.3">
      <c r="A2770" s="182"/>
      <c r="B2770" s="183"/>
      <c r="C2770" s="25"/>
      <c r="D2770" s="25"/>
      <c r="E2770" s="26"/>
      <c r="F2770" s="27"/>
      <c r="G2770" s="19" t="s">
        <v>1079</v>
      </c>
      <c r="H2770" s="27"/>
      <c r="I2770" s="23" t="str">
        <f>IF(ISNUMBER(G2770),E2770*G2770,"")</f>
        <v/>
      </c>
      <c r="J2770" s="24"/>
      <c r="K2770" s="19"/>
      <c r="L2770" s="174">
        <v>0</v>
      </c>
    </row>
    <row r="2771" spans="1:12" ht="15.75" hidden="1" thickBot="1" x14ac:dyDescent="0.3">
      <c r="A2771" s="180" t="s">
        <v>1600</v>
      </c>
      <c r="B2771" s="178" t="str">
        <f>INDEX(Orçamentária!A:B,MATCH(Composições!A2771,Orçamentária!A:A,0),2)</f>
        <v>Dobradiça horizontal para vidro basculante</v>
      </c>
      <c r="C2771" s="30"/>
      <c r="D2771" s="13" t="str">
        <f>TRIM(INDEX(Orçamentária!C:C,MATCH(Composições!A2771,Orçamentária!A:A,0),1))</f>
        <v>un</v>
      </c>
      <c r="E2771" s="14"/>
      <c r="F2771" s="15" t="str">
        <f>F2773</f>
        <v>Senado Federal</v>
      </c>
      <c r="G2771" s="31" t="s">
        <v>1079</v>
      </c>
      <c r="H2771" s="16"/>
      <c r="I2771" s="16" t="str">
        <f>IF(ISNUMBER(G2771),E2771*G2771,"")</f>
        <v/>
      </c>
      <c r="J2771" s="17"/>
      <c r="K2771" s="18"/>
      <c r="L2771" s="174">
        <v>0</v>
      </c>
    </row>
    <row r="2772" spans="1:12" ht="15.75" hidden="1" thickBot="1" x14ac:dyDescent="0.3">
      <c r="A2772" s="181"/>
      <c r="B2772" s="179"/>
      <c r="C2772" s="20"/>
      <c r="D2772" s="20"/>
      <c r="E2772" s="21"/>
      <c r="F2772" s="43"/>
      <c r="G2772" s="32" t="s">
        <v>1079</v>
      </c>
      <c r="H2772" s="20"/>
      <c r="I2772" s="23" t="str">
        <f>IF(ISNUMBER(G2772),E2772*G2772,"")</f>
        <v/>
      </c>
      <c r="J2772" s="24"/>
      <c r="K2772" s="19"/>
      <c r="L2772" s="174">
        <v>0</v>
      </c>
    </row>
    <row r="2773" spans="1:12" ht="15.75" hidden="1" thickBot="1" x14ac:dyDescent="0.3">
      <c r="A2773" s="181"/>
      <c r="B2773" s="179"/>
      <c r="C2773" s="25" t="s">
        <v>134</v>
      </c>
      <c r="D2773" s="25" t="s">
        <v>21</v>
      </c>
      <c r="E2773" s="26">
        <v>0.2</v>
      </c>
      <c r="F2773" s="27" t="s">
        <v>17</v>
      </c>
      <c r="G2773" s="23">
        <v>17.850499999999997</v>
      </c>
      <c r="H2773" s="27" t="s">
        <v>135</v>
      </c>
      <c r="I2773" s="23">
        <f>IF(ISNUMBER(G2773),E2773*G2773,"")</f>
        <v>3.5700999999999996</v>
      </c>
      <c r="J2773" s="28">
        <f>SUM(I2773:I2774)</f>
        <v>3.5700999999999996</v>
      </c>
      <c r="K2773" s="29"/>
      <c r="L2773" s="174">
        <v>0</v>
      </c>
    </row>
    <row r="2774" spans="1:12" ht="26.25" hidden="1" thickBot="1" x14ac:dyDescent="0.3">
      <c r="A2774" s="181"/>
      <c r="B2774" s="179"/>
      <c r="C2774" s="25" t="s">
        <v>1601</v>
      </c>
      <c r="D2774" s="25" t="s">
        <v>32</v>
      </c>
      <c r="E2774" s="26">
        <v>1</v>
      </c>
      <c r="F2774" s="27" t="s">
        <v>17</v>
      </c>
      <c r="G2774" s="19" t="s">
        <v>1079</v>
      </c>
      <c r="H2774" s="27" t="s">
        <v>33</v>
      </c>
      <c r="I2774" s="23" t="str">
        <f>IF(ISNUMBER(G2774),E2774*G2774,"")</f>
        <v/>
      </c>
      <c r="J2774" s="24"/>
      <c r="K2774" s="19"/>
      <c r="L2774" s="174">
        <v>0</v>
      </c>
    </row>
    <row r="2775" spans="1:12" ht="15.75" hidden="1" thickBot="1" x14ac:dyDescent="0.3">
      <c r="A2775" s="182"/>
      <c r="B2775" s="183"/>
      <c r="C2775" s="25"/>
      <c r="D2775" s="25"/>
      <c r="E2775" s="26"/>
      <c r="F2775" s="27"/>
      <c r="G2775" s="19" t="s">
        <v>1079</v>
      </c>
      <c r="H2775" s="27"/>
      <c r="I2775" s="23" t="str">
        <f>IF(ISNUMBER(G2775),E2775*G2775,"")</f>
        <v/>
      </c>
      <c r="J2775" s="24"/>
      <c r="K2775" s="19"/>
      <c r="L2775" s="174">
        <v>0</v>
      </c>
    </row>
    <row r="2776" spans="1:12" ht="15.75" hidden="1" thickBot="1" x14ac:dyDescent="0.3">
      <c r="A2776" s="180" t="s">
        <v>1602</v>
      </c>
      <c r="B2776" s="178" t="str">
        <f>INDEX(Orçamentária!A:B,MATCH(Composições!A2776,Orçamentária!A:A,0),2)</f>
        <v>Fechadura elétrica para porta de vidro temperado</v>
      </c>
      <c r="C2776" s="30"/>
      <c r="D2776" s="13" t="str">
        <f>TRIM(INDEX(Orçamentária!C:C,MATCH(Composições!A2776,Orçamentária!A:A,0),1))</f>
        <v>un</v>
      </c>
      <c r="E2776" s="14"/>
      <c r="F2776" s="15" t="str">
        <f>F2778</f>
        <v>Senado Federal</v>
      </c>
      <c r="G2776" s="31" t="s">
        <v>1079</v>
      </c>
      <c r="H2776" s="16"/>
      <c r="I2776" s="16" t="str">
        <f>IF(ISNUMBER(G2776),E2776*G2776,"")</f>
        <v/>
      </c>
      <c r="J2776" s="17"/>
      <c r="K2776" s="18"/>
      <c r="L2776" s="174">
        <v>0</v>
      </c>
    </row>
    <row r="2777" spans="1:12" ht="15.75" hidden="1" thickBot="1" x14ac:dyDescent="0.3">
      <c r="A2777" s="181"/>
      <c r="B2777" s="179"/>
      <c r="C2777" s="20"/>
      <c r="D2777" s="20"/>
      <c r="E2777" s="21"/>
      <c r="F2777" s="43"/>
      <c r="G2777" s="32" t="s">
        <v>1079</v>
      </c>
      <c r="H2777" s="20"/>
      <c r="I2777" s="23" t="str">
        <f>IF(ISNUMBER(G2777),E2777*G2777,"")</f>
        <v/>
      </c>
      <c r="J2777" s="24"/>
      <c r="K2777" s="19"/>
      <c r="L2777" s="174">
        <v>0</v>
      </c>
    </row>
    <row r="2778" spans="1:12" ht="15.75" hidden="1" thickBot="1" x14ac:dyDescent="0.3">
      <c r="A2778" s="181"/>
      <c r="B2778" s="179"/>
      <c r="C2778" s="25" t="s">
        <v>134</v>
      </c>
      <c r="D2778" s="25" t="s">
        <v>21</v>
      </c>
      <c r="E2778" s="26">
        <v>1.5</v>
      </c>
      <c r="F2778" s="27" t="s">
        <v>17</v>
      </c>
      <c r="G2778" s="23">
        <v>17.850499999999997</v>
      </c>
      <c r="H2778" s="27" t="s">
        <v>135</v>
      </c>
      <c r="I2778" s="23">
        <f>IF(ISNUMBER(G2778),E2778*G2778,"")</f>
        <v>26.775749999999995</v>
      </c>
      <c r="J2778" s="28">
        <f>SUM(I2778:I2779)</f>
        <v>26.775749999999995</v>
      </c>
      <c r="K2778" s="29"/>
      <c r="L2778" s="174">
        <v>0</v>
      </c>
    </row>
    <row r="2779" spans="1:12" ht="51.75" hidden="1" thickBot="1" x14ac:dyDescent="0.3">
      <c r="A2779" s="181"/>
      <c r="B2779" s="179"/>
      <c r="C2779" s="169" t="s">
        <v>1603</v>
      </c>
      <c r="D2779" s="25" t="s">
        <v>32</v>
      </c>
      <c r="E2779" s="26">
        <v>1</v>
      </c>
      <c r="F2779" s="27" t="s">
        <v>17</v>
      </c>
      <c r="G2779" s="19" t="s">
        <v>1079</v>
      </c>
      <c r="H2779" s="27" t="s">
        <v>33</v>
      </c>
      <c r="I2779" s="23" t="str">
        <f>IF(ISNUMBER(G2779),E2779*G2779,"")</f>
        <v/>
      </c>
      <c r="J2779" s="24"/>
      <c r="K2779" s="19"/>
      <c r="L2779" s="174">
        <v>0</v>
      </c>
    </row>
    <row r="2780" spans="1:12" ht="15.75" hidden="1" thickBot="1" x14ac:dyDescent="0.3">
      <c r="A2780" s="182"/>
      <c r="B2780" s="183"/>
      <c r="C2780" s="25"/>
      <c r="D2780" s="25"/>
      <c r="E2780" s="26"/>
      <c r="F2780" s="27"/>
      <c r="G2780" s="19" t="s">
        <v>1079</v>
      </c>
      <c r="H2780" s="27"/>
      <c r="I2780" s="23" t="str">
        <f>IF(ISNUMBER(G2780),E2780*G2780,"")</f>
        <v/>
      </c>
      <c r="J2780" s="24"/>
      <c r="K2780" s="19"/>
      <c r="L2780" s="174">
        <v>0</v>
      </c>
    </row>
    <row r="2781" spans="1:12" ht="15.75" hidden="1" thickBot="1" x14ac:dyDescent="0.3">
      <c r="A2781" s="180" t="s">
        <v>1604</v>
      </c>
      <c r="B2781" s="178" t="str">
        <f>INDEX(Orçamentária!A:B,MATCH(Composições!A2781,Orçamentária!A:A,0),2)</f>
        <v>Porteiro eletrônico</v>
      </c>
      <c r="C2781" s="30"/>
      <c r="D2781" s="13" t="str">
        <f>TRIM(INDEX(Orçamentária!C:C,MATCH(Composições!A2781,Orçamentária!A:A,0),1))</f>
        <v>un</v>
      </c>
      <c r="E2781" s="14"/>
      <c r="F2781" s="15" t="str">
        <f>F2783</f>
        <v>Senado Federal</v>
      </c>
      <c r="G2781" s="31" t="s">
        <v>1079</v>
      </c>
      <c r="H2781" s="16"/>
      <c r="I2781" s="16" t="str">
        <f>IF(ISNUMBER(G2781),E2781*G2781,"")</f>
        <v/>
      </c>
      <c r="J2781" s="17"/>
      <c r="K2781" s="18"/>
      <c r="L2781" s="174">
        <v>0</v>
      </c>
    </row>
    <row r="2782" spans="1:12" ht="15.75" hidden="1" thickBot="1" x14ac:dyDescent="0.3">
      <c r="A2782" s="181"/>
      <c r="B2782" s="179"/>
      <c r="C2782" s="20"/>
      <c r="D2782" s="20"/>
      <c r="E2782" s="21"/>
      <c r="F2782" s="43"/>
      <c r="G2782" s="32" t="s">
        <v>1079</v>
      </c>
      <c r="H2782" s="20"/>
      <c r="I2782" s="23" t="str">
        <f>IF(ISNUMBER(G2782),E2782*G2782,"")</f>
        <v/>
      </c>
      <c r="J2782" s="24"/>
      <c r="K2782" s="19"/>
      <c r="L2782" s="174">
        <v>0</v>
      </c>
    </row>
    <row r="2783" spans="1:12" ht="15.75" hidden="1" thickBot="1" x14ac:dyDescent="0.3">
      <c r="A2783" s="181"/>
      <c r="B2783" s="179"/>
      <c r="C2783" s="25" t="s">
        <v>134</v>
      </c>
      <c r="D2783" s="25" t="s">
        <v>21</v>
      </c>
      <c r="E2783" s="26">
        <v>1.5</v>
      </c>
      <c r="F2783" s="27" t="s">
        <v>17</v>
      </c>
      <c r="G2783" s="23">
        <v>17.850499999999997</v>
      </c>
      <c r="H2783" s="27" t="s">
        <v>135</v>
      </c>
      <c r="I2783" s="23">
        <f>IF(ISNUMBER(G2783),E2783*G2783,"")</f>
        <v>26.775749999999995</v>
      </c>
      <c r="J2783" s="28">
        <f>SUM(I2783:I2784)</f>
        <v>26.775749999999995</v>
      </c>
      <c r="K2783" s="29"/>
      <c r="L2783" s="174">
        <v>0</v>
      </c>
    </row>
    <row r="2784" spans="1:12" ht="15.75" hidden="1" thickBot="1" x14ac:dyDescent="0.3">
      <c r="A2784" s="181"/>
      <c r="B2784" s="179"/>
      <c r="C2784" s="25" t="s">
        <v>1605</v>
      </c>
      <c r="D2784" s="25" t="s">
        <v>32</v>
      </c>
      <c r="E2784" s="26">
        <v>1</v>
      </c>
      <c r="F2784" s="27" t="s">
        <v>17</v>
      </c>
      <c r="G2784" s="19" t="s">
        <v>1079</v>
      </c>
      <c r="H2784" s="27" t="s">
        <v>33</v>
      </c>
      <c r="I2784" s="23" t="str">
        <f>IF(ISNUMBER(G2784),E2784*G2784,"")</f>
        <v/>
      </c>
      <c r="J2784" s="24"/>
      <c r="K2784" s="19"/>
      <c r="L2784" s="174">
        <v>0</v>
      </c>
    </row>
    <row r="2785" spans="1:12" ht="15.75" hidden="1" thickBot="1" x14ac:dyDescent="0.3">
      <c r="A2785" s="182"/>
      <c r="B2785" s="183"/>
      <c r="C2785" s="25"/>
      <c r="D2785" s="25"/>
      <c r="E2785" s="26"/>
      <c r="F2785" s="27"/>
      <c r="G2785" s="19" t="s">
        <v>1079</v>
      </c>
      <c r="H2785" s="27"/>
      <c r="I2785" s="23" t="str">
        <f>IF(ISNUMBER(G2785),E2785*G2785,"")</f>
        <v/>
      </c>
      <c r="J2785" s="24"/>
      <c r="K2785" s="19"/>
      <c r="L2785" s="174">
        <v>0</v>
      </c>
    </row>
    <row r="2786" spans="1:12" ht="15.75" hidden="1" thickBot="1" x14ac:dyDescent="0.3">
      <c r="A2786" s="180" t="s">
        <v>1606</v>
      </c>
      <c r="B2786" s="178" t="str">
        <f>INDEX(Orçamentária!A:B,MATCH(Composições!A2786,Orçamentária!A:A,0),2)</f>
        <v>Acionador fixo</v>
      </c>
      <c r="C2786" s="30"/>
      <c r="D2786" s="13" t="str">
        <f>TRIM(INDEX(Orçamentária!C:C,MATCH(Composições!A2786,Orçamentária!A:A,0),1))</f>
        <v>un</v>
      </c>
      <c r="E2786" s="14"/>
      <c r="F2786" s="15" t="str">
        <f>F2788</f>
        <v>Senado Federal</v>
      </c>
      <c r="G2786" s="31" t="s">
        <v>1079</v>
      </c>
      <c r="H2786" s="16"/>
      <c r="I2786" s="16" t="str">
        <f>IF(ISNUMBER(G2786),E2786*G2786,"")</f>
        <v/>
      </c>
      <c r="J2786" s="17"/>
      <c r="K2786" s="18"/>
      <c r="L2786" s="174">
        <v>0</v>
      </c>
    </row>
    <row r="2787" spans="1:12" ht="15.75" hidden="1" thickBot="1" x14ac:dyDescent="0.3">
      <c r="A2787" s="181"/>
      <c r="B2787" s="179"/>
      <c r="C2787" s="20"/>
      <c r="D2787" s="20"/>
      <c r="E2787" s="21"/>
      <c r="F2787" s="43"/>
      <c r="G2787" s="32" t="s">
        <v>1079</v>
      </c>
      <c r="H2787" s="20"/>
      <c r="I2787" s="23" t="str">
        <f>IF(ISNUMBER(G2787),E2787*G2787,"")</f>
        <v/>
      </c>
      <c r="J2787" s="24"/>
      <c r="K2787" s="19"/>
      <c r="L2787" s="174">
        <v>0</v>
      </c>
    </row>
    <row r="2788" spans="1:12" ht="15.75" hidden="1" thickBot="1" x14ac:dyDescent="0.3">
      <c r="A2788" s="181"/>
      <c r="B2788" s="179"/>
      <c r="C2788" s="25" t="s">
        <v>134</v>
      </c>
      <c r="D2788" s="25" t="s">
        <v>21</v>
      </c>
      <c r="E2788" s="26">
        <v>1</v>
      </c>
      <c r="F2788" s="27" t="s">
        <v>17</v>
      </c>
      <c r="G2788" s="23">
        <v>17.850499999999997</v>
      </c>
      <c r="H2788" s="27" t="s">
        <v>135</v>
      </c>
      <c r="I2788" s="23">
        <f>IF(ISNUMBER(G2788),E2788*G2788,"")</f>
        <v>17.850499999999997</v>
      </c>
      <c r="J2788" s="28">
        <f>SUM(I2788:I2789)</f>
        <v>17.850499999999997</v>
      </c>
      <c r="K2788" s="29"/>
      <c r="L2788" s="174">
        <v>0</v>
      </c>
    </row>
    <row r="2789" spans="1:12" ht="26.25" hidden="1" thickBot="1" x14ac:dyDescent="0.3">
      <c r="A2789" s="181"/>
      <c r="B2789" s="179"/>
      <c r="C2789" s="25" t="s">
        <v>1607</v>
      </c>
      <c r="D2789" s="25" t="s">
        <v>32</v>
      </c>
      <c r="E2789" s="26">
        <v>1</v>
      </c>
      <c r="F2789" s="27" t="s">
        <v>17</v>
      </c>
      <c r="G2789" s="19" t="s">
        <v>1079</v>
      </c>
      <c r="H2789" s="27" t="s">
        <v>33</v>
      </c>
      <c r="I2789" s="23" t="str">
        <f>IF(ISNUMBER(G2789),E2789*G2789,"")</f>
        <v/>
      </c>
      <c r="J2789" s="24"/>
      <c r="K2789" s="19"/>
      <c r="L2789" s="174">
        <v>0</v>
      </c>
    </row>
    <row r="2790" spans="1:12" ht="15.75" hidden="1" thickBot="1" x14ac:dyDescent="0.3">
      <c r="A2790" s="182"/>
      <c r="B2790" s="183"/>
      <c r="C2790" s="25"/>
      <c r="D2790" s="25"/>
      <c r="E2790" s="26"/>
      <c r="F2790" s="27"/>
      <c r="G2790" s="19" t="s">
        <v>1079</v>
      </c>
      <c r="H2790" s="27"/>
      <c r="I2790" s="23" t="str">
        <f>IF(ISNUMBER(G2790),E2790*G2790,"")</f>
        <v/>
      </c>
      <c r="J2790" s="24"/>
      <c r="K2790" s="19"/>
      <c r="L2790" s="174">
        <v>0</v>
      </c>
    </row>
    <row r="2791" spans="1:12" ht="15.75" hidden="1" thickBot="1" x14ac:dyDescent="0.3">
      <c r="A2791" s="180" t="s">
        <v>1608</v>
      </c>
      <c r="B2791" s="178" t="str">
        <f>INDEX(Orçamentária!A:B,MATCH(Composições!A2791,Orçamentária!A:A,0),2)</f>
        <v>Mini chapinha para trinco basculante</v>
      </c>
      <c r="C2791" s="30"/>
      <c r="D2791" s="13" t="str">
        <f>TRIM(INDEX(Orçamentária!C:C,MATCH(Composições!A2791,Orçamentária!A:A,0),1))</f>
        <v>un</v>
      </c>
      <c r="E2791" s="14"/>
      <c r="F2791" s="15" t="str">
        <f>F2793</f>
        <v>Senado Federal</v>
      </c>
      <c r="G2791" s="31" t="s">
        <v>1079</v>
      </c>
      <c r="H2791" s="16"/>
      <c r="I2791" s="16" t="str">
        <f>IF(ISNUMBER(G2791),E2791*G2791,"")</f>
        <v/>
      </c>
      <c r="J2791" s="17"/>
      <c r="K2791" s="18"/>
      <c r="L2791" s="174">
        <v>0</v>
      </c>
    </row>
    <row r="2792" spans="1:12" ht="15.75" hidden="1" thickBot="1" x14ac:dyDescent="0.3">
      <c r="A2792" s="181"/>
      <c r="B2792" s="179"/>
      <c r="C2792" s="20"/>
      <c r="D2792" s="20"/>
      <c r="E2792" s="21"/>
      <c r="F2792" s="43"/>
      <c r="G2792" s="32" t="s">
        <v>1079</v>
      </c>
      <c r="H2792" s="20"/>
      <c r="I2792" s="23" t="str">
        <f>IF(ISNUMBER(G2792),E2792*G2792,"")</f>
        <v/>
      </c>
      <c r="J2792" s="24"/>
      <c r="K2792" s="19"/>
      <c r="L2792" s="174">
        <v>0</v>
      </c>
    </row>
    <row r="2793" spans="1:12" ht="15.75" hidden="1" thickBot="1" x14ac:dyDescent="0.3">
      <c r="A2793" s="181"/>
      <c r="B2793" s="179"/>
      <c r="C2793" s="25" t="s">
        <v>134</v>
      </c>
      <c r="D2793" s="25" t="s">
        <v>21</v>
      </c>
      <c r="E2793" s="26">
        <v>0.1</v>
      </c>
      <c r="F2793" s="27" t="s">
        <v>17</v>
      </c>
      <c r="G2793" s="23">
        <v>17.850499999999997</v>
      </c>
      <c r="H2793" s="27" t="s">
        <v>135</v>
      </c>
      <c r="I2793" s="23">
        <f>IF(ISNUMBER(G2793),E2793*G2793,"")</f>
        <v>1.7850499999999998</v>
      </c>
      <c r="J2793" s="28">
        <f>SUM(I2793:I2794)</f>
        <v>1.7850499999999998</v>
      </c>
      <c r="K2793" s="29"/>
      <c r="L2793" s="174">
        <v>0</v>
      </c>
    </row>
    <row r="2794" spans="1:12" ht="26.25" hidden="1" thickBot="1" x14ac:dyDescent="0.3">
      <c r="A2794" s="181"/>
      <c r="B2794" s="179"/>
      <c r="C2794" s="25" t="s">
        <v>1609</v>
      </c>
      <c r="D2794" s="25" t="s">
        <v>32</v>
      </c>
      <c r="E2794" s="26">
        <v>1</v>
      </c>
      <c r="F2794" s="27" t="s">
        <v>17</v>
      </c>
      <c r="G2794" s="19" t="s">
        <v>1079</v>
      </c>
      <c r="H2794" s="27" t="s">
        <v>33</v>
      </c>
      <c r="I2794" s="23" t="str">
        <f>IF(ISNUMBER(G2794),E2794*G2794,"")</f>
        <v/>
      </c>
      <c r="J2794" s="24"/>
      <c r="K2794" s="19"/>
      <c r="L2794" s="174">
        <v>0</v>
      </c>
    </row>
    <row r="2795" spans="1:12" ht="15.75" hidden="1" thickBot="1" x14ac:dyDescent="0.3">
      <c r="A2795" s="182"/>
      <c r="B2795" s="183"/>
      <c r="C2795" s="25"/>
      <c r="D2795" s="25"/>
      <c r="E2795" s="26"/>
      <c r="F2795" s="27"/>
      <c r="G2795" s="19" t="s">
        <v>1079</v>
      </c>
      <c r="H2795" s="27"/>
      <c r="I2795" s="23" t="str">
        <f>IF(ISNUMBER(G2795),E2795*G2795,"")</f>
        <v/>
      </c>
      <c r="J2795" s="24"/>
      <c r="K2795" s="19"/>
      <c r="L2795" s="174">
        <v>0</v>
      </c>
    </row>
    <row r="2796" spans="1:12" ht="15.75" hidden="1" thickBot="1" x14ac:dyDescent="0.3">
      <c r="A2796" s="180" t="s">
        <v>1610</v>
      </c>
      <c r="B2796" s="178" t="str">
        <f>INDEX(Orçamentária!A:B,MATCH(Composições!A2796,Orçamentária!A:A,0),2)</f>
        <v>Puxador de latão - diâmetro 25mm</v>
      </c>
      <c r="C2796" s="30"/>
      <c r="D2796" s="13" t="str">
        <f>TRIM(INDEX(Orçamentária!C:C,MATCH(Composições!A2796,Orçamentária!A:A,0),1))</f>
        <v>un</v>
      </c>
      <c r="E2796" s="14"/>
      <c r="F2796" s="15" t="str">
        <f>F2798</f>
        <v>Senado Federal</v>
      </c>
      <c r="G2796" s="31" t="s">
        <v>1079</v>
      </c>
      <c r="H2796" s="16"/>
      <c r="I2796" s="16" t="str">
        <f>IF(ISNUMBER(G2796),E2796*G2796,"")</f>
        <v/>
      </c>
      <c r="J2796" s="17"/>
      <c r="K2796" s="18"/>
      <c r="L2796" s="174">
        <v>0</v>
      </c>
    </row>
    <row r="2797" spans="1:12" ht="15.75" hidden="1" thickBot="1" x14ac:dyDescent="0.3">
      <c r="A2797" s="181"/>
      <c r="B2797" s="179"/>
      <c r="C2797" s="20"/>
      <c r="D2797" s="20"/>
      <c r="E2797" s="21"/>
      <c r="F2797" s="43"/>
      <c r="G2797" s="32" t="s">
        <v>1079</v>
      </c>
      <c r="H2797" s="20"/>
      <c r="I2797" s="23" t="str">
        <f>IF(ISNUMBER(G2797),E2797*G2797,"")</f>
        <v/>
      </c>
      <c r="J2797" s="24"/>
      <c r="K2797" s="19"/>
      <c r="L2797" s="174">
        <v>0</v>
      </c>
    </row>
    <row r="2798" spans="1:12" ht="15.75" hidden="1" thickBot="1" x14ac:dyDescent="0.3">
      <c r="A2798" s="181"/>
      <c r="B2798" s="179"/>
      <c r="C2798" s="25" t="s">
        <v>134</v>
      </c>
      <c r="D2798" s="25" t="s">
        <v>21</v>
      </c>
      <c r="E2798" s="26">
        <v>0.2</v>
      </c>
      <c r="F2798" s="27" t="s">
        <v>17</v>
      </c>
      <c r="G2798" s="23">
        <v>17.850499999999997</v>
      </c>
      <c r="H2798" s="27" t="s">
        <v>135</v>
      </c>
      <c r="I2798" s="23">
        <f>IF(ISNUMBER(G2798),E2798*G2798,"")</f>
        <v>3.5700999999999996</v>
      </c>
      <c r="J2798" s="28">
        <f>SUM(I2798:I2799)</f>
        <v>3.5700999999999996</v>
      </c>
      <c r="K2798" s="29"/>
      <c r="L2798" s="174">
        <v>0</v>
      </c>
    </row>
    <row r="2799" spans="1:12" ht="26.25" hidden="1" thickBot="1" x14ac:dyDescent="0.3">
      <c r="A2799" s="181"/>
      <c r="B2799" s="179"/>
      <c r="C2799" s="25" t="s">
        <v>1611</v>
      </c>
      <c r="D2799" s="25" t="s">
        <v>32</v>
      </c>
      <c r="E2799" s="26">
        <v>1</v>
      </c>
      <c r="F2799" s="27" t="s">
        <v>17</v>
      </c>
      <c r="G2799" s="19" t="s">
        <v>1079</v>
      </c>
      <c r="H2799" s="27" t="s">
        <v>33</v>
      </c>
      <c r="I2799" s="23" t="str">
        <f>IF(ISNUMBER(G2799),E2799*G2799,"")</f>
        <v/>
      </c>
      <c r="J2799" s="24"/>
      <c r="K2799" s="19"/>
      <c r="L2799" s="174">
        <v>0</v>
      </c>
    </row>
    <row r="2800" spans="1:12" ht="15.75" hidden="1" thickBot="1" x14ac:dyDescent="0.3">
      <c r="A2800" s="182"/>
      <c r="B2800" s="183"/>
      <c r="C2800" s="25"/>
      <c r="D2800" s="25"/>
      <c r="E2800" s="26"/>
      <c r="F2800" s="27"/>
      <c r="G2800" s="19" t="s">
        <v>1079</v>
      </c>
      <c r="H2800" s="27"/>
      <c r="I2800" s="23" t="str">
        <f>IF(ISNUMBER(G2800),E2800*G2800,"")</f>
        <v/>
      </c>
      <c r="J2800" s="24"/>
      <c r="K2800" s="19"/>
      <c r="L2800" s="174">
        <v>0</v>
      </c>
    </row>
    <row r="2801" spans="1:12" ht="15.75" hidden="1" thickBot="1" x14ac:dyDescent="0.3">
      <c r="A2801" s="180" t="s">
        <v>1612</v>
      </c>
      <c r="B2801" s="178" t="str">
        <f>INDEX(Orçamentária!A:B,MATCH(Composições!A2801,Orçamentária!A:A,0),2)</f>
        <v>Trinco sem miolo para vidro temperado</v>
      </c>
      <c r="C2801" s="30"/>
      <c r="D2801" s="13" t="str">
        <f>TRIM(INDEX(Orçamentária!C:C,MATCH(Composições!A2801,Orçamentária!A:A,0),1))</f>
        <v>un</v>
      </c>
      <c r="E2801" s="14"/>
      <c r="F2801" s="15" t="str">
        <f>F2803</f>
        <v>Senado Federal</v>
      </c>
      <c r="G2801" s="31" t="s">
        <v>1079</v>
      </c>
      <c r="H2801" s="16"/>
      <c r="I2801" s="16" t="str">
        <f>IF(ISNUMBER(G2801),E2801*G2801,"")</f>
        <v/>
      </c>
      <c r="J2801" s="17"/>
      <c r="K2801" s="18"/>
      <c r="L2801" s="174">
        <v>0</v>
      </c>
    </row>
    <row r="2802" spans="1:12" ht="15.75" hidden="1" thickBot="1" x14ac:dyDescent="0.3">
      <c r="A2802" s="181"/>
      <c r="B2802" s="179"/>
      <c r="C2802" s="20"/>
      <c r="D2802" s="20"/>
      <c r="E2802" s="21"/>
      <c r="F2802" s="43"/>
      <c r="G2802" s="32" t="s">
        <v>1079</v>
      </c>
      <c r="H2802" s="20"/>
      <c r="I2802" s="23" t="str">
        <f>IF(ISNUMBER(G2802),E2802*G2802,"")</f>
        <v/>
      </c>
      <c r="J2802" s="24"/>
      <c r="K2802" s="19"/>
      <c r="L2802" s="174">
        <v>0</v>
      </c>
    </row>
    <row r="2803" spans="1:12" ht="15.75" hidden="1" thickBot="1" x14ac:dyDescent="0.3">
      <c r="A2803" s="181"/>
      <c r="B2803" s="179"/>
      <c r="C2803" s="25" t="s">
        <v>134</v>
      </c>
      <c r="D2803" s="25" t="s">
        <v>21</v>
      </c>
      <c r="E2803" s="26">
        <v>0.2</v>
      </c>
      <c r="F2803" s="27" t="s">
        <v>17</v>
      </c>
      <c r="G2803" s="23">
        <v>17.850499999999997</v>
      </c>
      <c r="H2803" s="27" t="s">
        <v>135</v>
      </c>
      <c r="I2803" s="23">
        <f>IF(ISNUMBER(G2803),E2803*G2803,"")</f>
        <v>3.5700999999999996</v>
      </c>
      <c r="J2803" s="28">
        <f>SUM(I2803:I2804)</f>
        <v>3.5700999999999996</v>
      </c>
      <c r="K2803" s="29"/>
      <c r="L2803" s="174">
        <v>0</v>
      </c>
    </row>
    <row r="2804" spans="1:12" ht="39" hidden="1" thickBot="1" x14ac:dyDescent="0.3">
      <c r="A2804" s="181"/>
      <c r="B2804" s="179"/>
      <c r="C2804" s="25" t="s">
        <v>1613</v>
      </c>
      <c r="D2804" s="25" t="s">
        <v>32</v>
      </c>
      <c r="E2804" s="26">
        <v>1</v>
      </c>
      <c r="F2804" s="27" t="s">
        <v>17</v>
      </c>
      <c r="G2804" s="19" t="s">
        <v>1079</v>
      </c>
      <c r="H2804" s="27" t="s">
        <v>33</v>
      </c>
      <c r="I2804" s="23" t="str">
        <f>IF(ISNUMBER(G2804),E2804*G2804,"")</f>
        <v/>
      </c>
      <c r="J2804" s="24"/>
      <c r="K2804" s="19"/>
      <c r="L2804" s="174">
        <v>0</v>
      </c>
    </row>
    <row r="2805" spans="1:12" ht="15.75" hidden="1" thickBot="1" x14ac:dyDescent="0.3">
      <c r="A2805" s="182"/>
      <c r="B2805" s="183"/>
      <c r="C2805" s="25"/>
      <c r="D2805" s="25"/>
      <c r="E2805" s="26"/>
      <c r="F2805" s="27"/>
      <c r="G2805" s="19" t="s">
        <v>1079</v>
      </c>
      <c r="H2805" s="27"/>
      <c r="I2805" s="23" t="str">
        <f>IF(ISNUMBER(G2805),E2805*G2805,"")</f>
        <v/>
      </c>
      <c r="J2805" s="24"/>
      <c r="K2805" s="19"/>
      <c r="L2805" s="174">
        <v>0</v>
      </c>
    </row>
    <row r="2806" spans="1:12" ht="15.75" hidden="1" thickBot="1" x14ac:dyDescent="0.3">
      <c r="A2806" s="180" t="s">
        <v>1614</v>
      </c>
      <c r="B2806" s="178" t="str">
        <f>INDEX(Orçamentária!A:B,MATCH(Composições!A2806,Orçamentária!A:A,0),2)</f>
        <v>Tubo de alumínio quadrado 50x50</v>
      </c>
      <c r="C2806" s="30"/>
      <c r="D2806" s="13" t="str">
        <f>TRIM(INDEX(Orçamentária!C:C,MATCH(Composições!A2806,Orçamentária!A:A,0),1))</f>
        <v>m</v>
      </c>
      <c r="E2806" s="14"/>
      <c r="F2806" s="15" t="str">
        <f>F2808</f>
        <v>Senado Federal</v>
      </c>
      <c r="G2806" s="31" t="s">
        <v>1079</v>
      </c>
      <c r="H2806" s="16"/>
      <c r="I2806" s="16" t="str">
        <f>IF(ISNUMBER(G2806),E2806*G2806,"")</f>
        <v/>
      </c>
      <c r="J2806" s="17"/>
      <c r="K2806" s="18"/>
      <c r="L2806" s="174">
        <v>0</v>
      </c>
    </row>
    <row r="2807" spans="1:12" ht="15.75" hidden="1" thickBot="1" x14ac:dyDescent="0.3">
      <c r="A2807" s="186"/>
      <c r="B2807" s="179"/>
      <c r="C2807" s="20"/>
      <c r="D2807" s="20"/>
      <c r="E2807" s="21"/>
      <c r="F2807" s="43"/>
      <c r="G2807" s="32" t="s">
        <v>1079</v>
      </c>
      <c r="H2807" s="20"/>
      <c r="I2807" s="23" t="str">
        <f>IF(ISNUMBER(G2807),E2807*G2807,"")</f>
        <v/>
      </c>
      <c r="J2807" s="24"/>
      <c r="K2807" s="19"/>
      <c r="L2807" s="174">
        <v>0</v>
      </c>
    </row>
    <row r="2808" spans="1:12" ht="15.75" hidden="1" thickBot="1" x14ac:dyDescent="0.3">
      <c r="A2808" s="186"/>
      <c r="B2808" s="179"/>
      <c r="C2808" s="25" t="s">
        <v>134</v>
      </c>
      <c r="D2808" s="25" t="s">
        <v>21</v>
      </c>
      <c r="E2808" s="26">
        <v>0.25</v>
      </c>
      <c r="F2808" s="27" t="s">
        <v>17</v>
      </c>
      <c r="G2808" s="23">
        <v>17.850499999999997</v>
      </c>
      <c r="H2808" s="27" t="s">
        <v>135</v>
      </c>
      <c r="I2808" s="23">
        <f>IF(ISNUMBER(G2808),E2808*G2808,"")</f>
        <v>4.4626249999999992</v>
      </c>
      <c r="J2808" s="28">
        <f>SUM(I2808:I2809)</f>
        <v>27.792601499999996</v>
      </c>
      <c r="K2808" s="29"/>
      <c r="L2808" s="174">
        <v>0</v>
      </c>
    </row>
    <row r="2809" spans="1:12" ht="15.75" hidden="1" thickBot="1" x14ac:dyDescent="0.3">
      <c r="A2809" s="186"/>
      <c r="B2809" s="179"/>
      <c r="C2809" s="25" t="s">
        <v>1560</v>
      </c>
      <c r="D2809" s="25" t="s">
        <v>75</v>
      </c>
      <c r="E2809" s="26">
        <v>0.85299999999999998</v>
      </c>
      <c r="F2809" s="27" t="s">
        <v>17</v>
      </c>
      <c r="G2809" s="19">
        <v>27.350499999999997</v>
      </c>
      <c r="H2809" s="27" t="s">
        <v>1561</v>
      </c>
      <c r="I2809" s="23">
        <f>IF(ISNUMBER(G2809),E2809*G2809,"")</f>
        <v>23.329976499999997</v>
      </c>
      <c r="J2809" s="24"/>
      <c r="K2809" s="19"/>
      <c r="L2809" s="174">
        <v>0</v>
      </c>
    </row>
    <row r="2810" spans="1:12" ht="15.75" hidden="1" thickBot="1" x14ac:dyDescent="0.3">
      <c r="A2810" s="186"/>
      <c r="B2810" s="179"/>
      <c r="C2810" s="25"/>
      <c r="D2810" s="36"/>
      <c r="E2810" s="26"/>
      <c r="F2810" s="27"/>
      <c r="G2810" s="19" t="s">
        <v>1079</v>
      </c>
      <c r="H2810" s="27"/>
      <c r="I2810" s="23" t="str">
        <f>IF(ISNUMBER(G2810),E2810*G2810,"")</f>
        <v/>
      </c>
      <c r="J2810" s="24"/>
      <c r="K2810" s="19"/>
      <c r="L2810" s="174">
        <v>0</v>
      </c>
    </row>
    <row r="2811" spans="1:12" ht="26.25" hidden="1" thickBot="1" x14ac:dyDescent="0.3">
      <c r="A2811" s="186"/>
      <c r="B2811" s="179"/>
      <c r="C2811" s="39" t="s">
        <v>1615</v>
      </c>
      <c r="D2811" s="36"/>
      <c r="E2811" s="26"/>
      <c r="F2811" s="27"/>
      <c r="G2811" s="19" t="s">
        <v>1079</v>
      </c>
      <c r="H2811" s="27"/>
      <c r="I2811" s="23" t="str">
        <f>IF(ISNUMBER(G2811),E2811*G2811,"")</f>
        <v/>
      </c>
      <c r="J2811" s="24"/>
      <c r="K2811" s="19"/>
      <c r="L2811" s="174">
        <v>0</v>
      </c>
    </row>
    <row r="2812" spans="1:12" ht="26.25" hidden="1" thickBot="1" x14ac:dyDescent="0.3">
      <c r="A2812" s="186"/>
      <c r="B2812" s="179"/>
      <c r="C2812" s="44" t="s">
        <v>1566</v>
      </c>
      <c r="D2812" s="36"/>
      <c r="E2812" s="26"/>
      <c r="F2812" s="27"/>
      <c r="G2812" s="19" t="s">
        <v>1079</v>
      </c>
      <c r="H2812" s="27"/>
      <c r="I2812" s="23" t="str">
        <f>IF(ISNUMBER(G2812),E2812*G2812,"")</f>
        <v/>
      </c>
      <c r="J2812" s="24"/>
      <c r="K2812" s="19"/>
      <c r="L2812" s="174">
        <v>0</v>
      </c>
    </row>
    <row r="2813" spans="1:12" ht="15.75" hidden="1" thickBot="1" x14ac:dyDescent="0.3">
      <c r="A2813" s="187"/>
      <c r="B2813" s="183"/>
      <c r="C2813" s="25"/>
      <c r="D2813" s="25"/>
      <c r="E2813" s="26"/>
      <c r="F2813" s="27"/>
      <c r="G2813" s="19" t="s">
        <v>1079</v>
      </c>
      <c r="H2813" s="27"/>
      <c r="I2813" s="23" t="str">
        <f>IF(ISNUMBER(G2813),E2813*G2813,"")</f>
        <v/>
      </c>
      <c r="J2813" s="24"/>
      <c r="K2813" s="19"/>
      <c r="L2813" s="174">
        <v>0</v>
      </c>
    </row>
    <row r="2814" spans="1:12" ht="15.75" hidden="1" thickBot="1" x14ac:dyDescent="0.3">
      <c r="A2814" s="180" t="s">
        <v>1616</v>
      </c>
      <c r="B2814" s="178" t="str">
        <f>INDEX(Orçamentária!A:B,MATCH(Composições!A2814,Orçamentária!A:A,0),2)</f>
        <v>Veda fresta adesivo “E” branco</v>
      </c>
      <c r="C2814" s="30"/>
      <c r="D2814" s="13" t="str">
        <f>TRIM(INDEX(Orçamentária!C:C,MATCH(Composições!A2814,Orçamentária!A:A,0),1))</f>
        <v>m</v>
      </c>
      <c r="E2814" s="14"/>
      <c r="F2814" s="15" t="str">
        <f>F2816</f>
        <v>Senado Federal</v>
      </c>
      <c r="G2814" s="31" t="s">
        <v>1079</v>
      </c>
      <c r="H2814" s="16"/>
      <c r="I2814" s="16" t="str">
        <f>IF(ISNUMBER(G2814),E2814*G2814,"")</f>
        <v/>
      </c>
      <c r="J2814" s="17"/>
      <c r="K2814" s="18"/>
      <c r="L2814" s="174">
        <v>0</v>
      </c>
    </row>
    <row r="2815" spans="1:12" ht="15.75" hidden="1" thickBot="1" x14ac:dyDescent="0.3">
      <c r="A2815" s="181"/>
      <c r="B2815" s="179"/>
      <c r="C2815" s="20"/>
      <c r="D2815" s="20"/>
      <c r="E2815" s="21"/>
      <c r="F2815" s="43"/>
      <c r="G2815" s="32" t="s">
        <v>1079</v>
      </c>
      <c r="H2815" s="20"/>
      <c r="I2815" s="23" t="str">
        <f>IF(ISNUMBER(G2815),E2815*G2815,"")</f>
        <v/>
      </c>
      <c r="J2815" s="24"/>
      <c r="K2815" s="19"/>
      <c r="L2815" s="174">
        <v>0</v>
      </c>
    </row>
    <row r="2816" spans="1:12" ht="15.75" hidden="1" thickBot="1" x14ac:dyDescent="0.3">
      <c r="A2816" s="181"/>
      <c r="B2816" s="179"/>
      <c r="C2816" s="25" t="s">
        <v>134</v>
      </c>
      <c r="D2816" s="25" t="s">
        <v>21</v>
      </c>
      <c r="E2816" s="26">
        <v>0.2</v>
      </c>
      <c r="F2816" s="27" t="s">
        <v>17</v>
      </c>
      <c r="G2816" s="23">
        <v>17.850499999999997</v>
      </c>
      <c r="H2816" s="27" t="s">
        <v>135</v>
      </c>
      <c r="I2816" s="23">
        <f>IF(ISNUMBER(G2816),E2816*G2816,"")</f>
        <v>3.5700999999999996</v>
      </c>
      <c r="J2816" s="28">
        <f>SUM(I2816:I2817)</f>
        <v>3.5700999999999996</v>
      </c>
      <c r="K2816" s="29"/>
      <c r="L2816" s="174">
        <v>0</v>
      </c>
    </row>
    <row r="2817" spans="1:12" ht="26.25" hidden="1" thickBot="1" x14ac:dyDescent="0.3">
      <c r="A2817" s="181"/>
      <c r="B2817" s="179"/>
      <c r="C2817" s="25" t="s">
        <v>1617</v>
      </c>
      <c r="D2817" s="25" t="s">
        <v>184</v>
      </c>
      <c r="E2817" s="26">
        <v>0.11899999999999999</v>
      </c>
      <c r="F2817" s="27" t="s">
        <v>17</v>
      </c>
      <c r="G2817" s="19" t="s">
        <v>1079</v>
      </c>
      <c r="H2817" s="27" t="s">
        <v>33</v>
      </c>
      <c r="I2817" s="23" t="str">
        <f>IF(ISNUMBER(G2817),E2817*G2817,"")</f>
        <v/>
      </c>
      <c r="J2817" s="24"/>
      <c r="K2817" s="19"/>
      <c r="L2817" s="174">
        <v>0</v>
      </c>
    </row>
    <row r="2818" spans="1:12" ht="15.75" hidden="1" thickBot="1" x14ac:dyDescent="0.3">
      <c r="A2818" s="182"/>
      <c r="B2818" s="183"/>
      <c r="C2818" s="25"/>
      <c r="D2818" s="25"/>
      <c r="E2818" s="26"/>
      <c r="F2818" s="27"/>
      <c r="G2818" s="19" t="s">
        <v>1079</v>
      </c>
      <c r="H2818" s="27"/>
      <c r="I2818" s="23" t="str">
        <f>IF(ISNUMBER(G2818),E2818*G2818,"")</f>
        <v/>
      </c>
      <c r="J2818" s="24"/>
      <c r="K2818" s="19"/>
      <c r="L2818" s="174">
        <v>0</v>
      </c>
    </row>
    <row r="2819" spans="1:12" ht="15.75" hidden="1" thickBot="1" x14ac:dyDescent="0.3">
      <c r="A2819" s="180" t="s">
        <v>1618</v>
      </c>
      <c r="B2819" s="178" t="str">
        <f>INDEX(Orçamentária!A:B,MATCH(Composições!A2819,Orçamentária!A:A,0),2)</f>
        <v>Vedapress 10mm</v>
      </c>
      <c r="C2819" s="30"/>
      <c r="D2819" s="13" t="str">
        <f>TRIM(INDEX(Orçamentária!C:C,MATCH(Composições!A2819,Orçamentária!A:A,0),1))</f>
        <v>m</v>
      </c>
      <c r="E2819" s="14"/>
      <c r="F2819" s="15" t="str">
        <f>F2821</f>
        <v>Senado Federal</v>
      </c>
      <c r="G2819" s="31" t="s">
        <v>1079</v>
      </c>
      <c r="H2819" s="16"/>
      <c r="I2819" s="16" t="str">
        <f>IF(ISNUMBER(G2819),E2819*G2819,"")</f>
        <v/>
      </c>
      <c r="J2819" s="17"/>
      <c r="K2819" s="18"/>
      <c r="L2819" s="174">
        <v>0</v>
      </c>
    </row>
    <row r="2820" spans="1:12" ht="15.75" hidden="1" thickBot="1" x14ac:dyDescent="0.3">
      <c r="A2820" s="186"/>
      <c r="B2820" s="179"/>
      <c r="C2820" s="20"/>
      <c r="D2820" s="20"/>
      <c r="E2820" s="21"/>
      <c r="F2820" s="43"/>
      <c r="G2820" s="32" t="s">
        <v>1079</v>
      </c>
      <c r="H2820" s="20"/>
      <c r="I2820" s="23" t="str">
        <f>IF(ISNUMBER(G2820),E2820*G2820,"")</f>
        <v/>
      </c>
      <c r="J2820" s="24"/>
      <c r="K2820" s="19"/>
      <c r="L2820" s="174">
        <v>0</v>
      </c>
    </row>
    <row r="2821" spans="1:12" ht="15.75" hidden="1" thickBot="1" x14ac:dyDescent="0.3">
      <c r="A2821" s="186"/>
      <c r="B2821" s="179"/>
      <c r="C2821" s="25" t="s">
        <v>134</v>
      </c>
      <c r="D2821" s="25" t="s">
        <v>21</v>
      </c>
      <c r="E2821" s="26">
        <v>0.3</v>
      </c>
      <c r="F2821" s="27" t="s">
        <v>17</v>
      </c>
      <c r="G2821" s="23">
        <v>17.850499999999997</v>
      </c>
      <c r="H2821" s="27" t="s">
        <v>135</v>
      </c>
      <c r="I2821" s="23">
        <f>IF(ISNUMBER(G2821),E2821*G2821,"")</f>
        <v>5.3551499999999992</v>
      </c>
      <c r="J2821" s="28">
        <f>SUM(I2821:I2822)</f>
        <v>8.6098594999999989</v>
      </c>
      <c r="K2821" s="29"/>
      <c r="L2821" s="174">
        <v>0</v>
      </c>
    </row>
    <row r="2822" spans="1:12" ht="15.75" hidden="1" thickBot="1" x14ac:dyDescent="0.3">
      <c r="A2822" s="186"/>
      <c r="B2822" s="179"/>
      <c r="C2822" s="25" t="s">
        <v>1560</v>
      </c>
      <c r="D2822" s="25" t="s">
        <v>75</v>
      </c>
      <c r="E2822" s="26">
        <v>0.11899999999999999</v>
      </c>
      <c r="F2822" s="27" t="s">
        <v>17</v>
      </c>
      <c r="G2822" s="19">
        <v>27.350499999999997</v>
      </c>
      <c r="H2822" s="27" t="s">
        <v>1561</v>
      </c>
      <c r="I2822" s="23">
        <f>IF(ISNUMBER(G2822),E2822*G2822,"")</f>
        <v>3.2547094999999993</v>
      </c>
      <c r="J2822" s="24"/>
      <c r="K2822" s="19"/>
      <c r="L2822" s="174">
        <v>0</v>
      </c>
    </row>
    <row r="2823" spans="1:12" ht="15.75" hidden="1" thickBot="1" x14ac:dyDescent="0.3">
      <c r="A2823" s="186"/>
      <c r="B2823" s="179"/>
      <c r="C2823" s="25"/>
      <c r="D2823" s="25"/>
      <c r="E2823" s="26"/>
      <c r="F2823" s="27"/>
      <c r="G2823" s="19" t="s">
        <v>1079</v>
      </c>
      <c r="H2823" s="27"/>
      <c r="I2823" s="23" t="str">
        <f>IF(ISNUMBER(G2823),E2823*G2823,"")</f>
        <v/>
      </c>
      <c r="J2823" s="24"/>
      <c r="K2823" s="19"/>
      <c r="L2823" s="174">
        <v>0</v>
      </c>
    </row>
    <row r="2824" spans="1:12" ht="39" hidden="1" thickBot="1" x14ac:dyDescent="0.3">
      <c r="A2824" s="186"/>
      <c r="B2824" s="179"/>
      <c r="C2824" s="39" t="s">
        <v>1619</v>
      </c>
      <c r="D2824" s="25"/>
      <c r="E2824" s="26"/>
      <c r="F2824" s="27"/>
      <c r="G2824" s="19" t="s">
        <v>1079</v>
      </c>
      <c r="H2824" s="27"/>
      <c r="I2824" s="23" t="str">
        <f>IF(ISNUMBER(G2824),E2824*G2824,"")</f>
        <v/>
      </c>
      <c r="J2824" s="24"/>
      <c r="K2824" s="19"/>
      <c r="L2824" s="174">
        <v>0</v>
      </c>
    </row>
    <row r="2825" spans="1:12" ht="15.75" hidden="1" thickBot="1" x14ac:dyDescent="0.3">
      <c r="A2825" s="186"/>
      <c r="B2825" s="179"/>
      <c r="C2825" s="44" t="s">
        <v>1620</v>
      </c>
      <c r="D2825" s="25"/>
      <c r="E2825" s="26"/>
      <c r="F2825" s="27"/>
      <c r="G2825" s="19" t="s">
        <v>1079</v>
      </c>
      <c r="H2825" s="27"/>
      <c r="I2825" s="23" t="str">
        <f>IF(ISNUMBER(G2825),E2825*G2825,"")</f>
        <v/>
      </c>
      <c r="J2825" s="24"/>
      <c r="K2825" s="19"/>
      <c r="L2825" s="174">
        <v>0</v>
      </c>
    </row>
    <row r="2826" spans="1:12" ht="15.75" hidden="1" thickBot="1" x14ac:dyDescent="0.3">
      <c r="A2826" s="187"/>
      <c r="B2826" s="183"/>
      <c r="C2826" s="25"/>
      <c r="D2826" s="25"/>
      <c r="E2826" s="26"/>
      <c r="F2826" s="27"/>
      <c r="G2826" s="19" t="s">
        <v>1079</v>
      </c>
      <c r="H2826" s="27"/>
      <c r="I2826" s="23" t="str">
        <f>IF(ISNUMBER(G2826),E2826*G2826,"")</f>
        <v/>
      </c>
      <c r="J2826" s="24"/>
      <c r="K2826" s="19"/>
      <c r="L2826" s="174">
        <v>0</v>
      </c>
    </row>
    <row r="2827" spans="1:12" ht="15.75" hidden="1" thickBot="1" x14ac:dyDescent="0.3">
      <c r="A2827" s="180" t="s">
        <v>1621</v>
      </c>
      <c r="B2827" s="178" t="str">
        <f>INDEX(Orçamentária!A:B,MATCH(Composições!A2827,Orçamentária!A:A,0),2)</f>
        <v>Regulagem de ferragens</v>
      </c>
      <c r="C2827" s="30"/>
      <c r="D2827" s="13" t="str">
        <f>TRIM(INDEX(Orçamentária!C:C,MATCH(Composições!A2827,Orçamentária!A:A,0),1))</f>
        <v>un</v>
      </c>
      <c r="E2827" s="14"/>
      <c r="F2827" s="15" t="str">
        <f>F2829</f>
        <v>Senado Federal</v>
      </c>
      <c r="G2827" s="31" t="s">
        <v>1079</v>
      </c>
      <c r="H2827" s="16"/>
      <c r="I2827" s="16" t="str">
        <f>IF(ISNUMBER(G2827),E2827*G2827,"")</f>
        <v/>
      </c>
      <c r="J2827" s="17"/>
      <c r="K2827" s="18"/>
      <c r="L2827" s="174">
        <v>0</v>
      </c>
    </row>
    <row r="2828" spans="1:12" ht="15.75" hidden="1" thickBot="1" x14ac:dyDescent="0.3">
      <c r="A2828" s="181"/>
      <c r="B2828" s="179"/>
      <c r="C2828" s="20"/>
      <c r="D2828" s="20"/>
      <c r="E2828" s="21"/>
      <c r="F2828" s="43"/>
      <c r="G2828" s="32" t="s">
        <v>1079</v>
      </c>
      <c r="H2828" s="20"/>
      <c r="I2828" s="23" t="str">
        <f>IF(ISNUMBER(G2828),E2828*G2828,"")</f>
        <v/>
      </c>
      <c r="J2828" s="24"/>
      <c r="K2828" s="19"/>
      <c r="L2828" s="174">
        <v>0</v>
      </c>
    </row>
    <row r="2829" spans="1:12" ht="15.75" hidden="1" thickBot="1" x14ac:dyDescent="0.3">
      <c r="A2829" s="181"/>
      <c r="B2829" s="179"/>
      <c r="C2829" s="25" t="s">
        <v>134</v>
      </c>
      <c r="D2829" s="36" t="s">
        <v>21</v>
      </c>
      <c r="E2829" s="26">
        <v>1.5</v>
      </c>
      <c r="F2829" s="27" t="s">
        <v>17</v>
      </c>
      <c r="G2829" s="23">
        <v>17.850499999999997</v>
      </c>
      <c r="H2829" s="27" t="s">
        <v>135</v>
      </c>
      <c r="I2829" s="23">
        <f>IF(ISNUMBER(G2829),E2829*G2829,"")</f>
        <v>26.775749999999995</v>
      </c>
      <c r="J2829" s="28">
        <f>SUM(I2829:I2829)</f>
        <v>26.775749999999995</v>
      </c>
      <c r="K2829" s="29"/>
      <c r="L2829" s="174">
        <v>0</v>
      </c>
    </row>
    <row r="2830" spans="1:12" ht="15.75" hidden="1" thickBot="1" x14ac:dyDescent="0.3">
      <c r="A2830" s="182"/>
      <c r="B2830" s="183"/>
      <c r="C2830" s="25"/>
      <c r="D2830" s="25"/>
      <c r="E2830" s="26"/>
      <c r="F2830" s="27"/>
      <c r="G2830" s="19" t="s">
        <v>1079</v>
      </c>
      <c r="H2830" s="27"/>
      <c r="I2830" s="23" t="str">
        <f>IF(ISNUMBER(G2830),E2830*G2830,"")</f>
        <v/>
      </c>
      <c r="J2830" s="24"/>
      <c r="K2830" s="19"/>
      <c r="L2830" s="174">
        <v>0</v>
      </c>
    </row>
    <row r="2831" spans="1:12" ht="15.75" hidden="1" thickBot="1" x14ac:dyDescent="0.3">
      <c r="A2831" s="180" t="s">
        <v>1622</v>
      </c>
      <c r="B2831" s="178" t="str">
        <f>INDEX(Orçamentária!A:B,MATCH(Composições!A2831,Orçamentária!A:A,0),2)</f>
        <v>Vidro fumê / bronze temperado 10mm</v>
      </c>
      <c r="C2831" s="30"/>
      <c r="D2831" s="13" t="str">
        <f>TRIM(INDEX(Orçamentária!C:C,MATCH(Composições!A2831,Orçamentária!A:A,0),1))</f>
        <v>m2</v>
      </c>
      <c r="E2831" s="14"/>
      <c r="F2831" s="15" t="s">
        <v>1623</v>
      </c>
      <c r="G2831" s="31" t="s">
        <v>1079</v>
      </c>
      <c r="H2831" s="16"/>
      <c r="I2831" s="16" t="str">
        <f>IF(ISNUMBER(G2831),E2831*G2831,"")</f>
        <v/>
      </c>
      <c r="J2831" s="17"/>
      <c r="K2831" s="18"/>
      <c r="L2831" s="174">
        <v>0</v>
      </c>
    </row>
    <row r="2832" spans="1:12" ht="15.75" hidden="1" thickBot="1" x14ac:dyDescent="0.3">
      <c r="A2832" s="181"/>
      <c r="B2832" s="179"/>
      <c r="C2832" s="20"/>
      <c r="D2832" s="20"/>
      <c r="E2832" s="21"/>
      <c r="F2832" s="43"/>
      <c r="G2832" s="32" t="s">
        <v>1079</v>
      </c>
      <c r="H2832" s="20"/>
      <c r="I2832" s="23" t="str">
        <f>IF(ISNUMBER(G2832),E2832*G2832,"")</f>
        <v/>
      </c>
      <c r="J2832" s="24"/>
      <c r="K2832" s="19"/>
      <c r="L2832" s="174">
        <v>0</v>
      </c>
    </row>
    <row r="2833" spans="1:12" ht="15.75" hidden="1" thickBot="1" x14ac:dyDescent="0.3">
      <c r="A2833" s="181"/>
      <c r="B2833" s="179"/>
      <c r="C2833" s="25" t="s">
        <v>134</v>
      </c>
      <c r="D2833" s="25" t="s">
        <v>21</v>
      </c>
      <c r="E2833" s="26">
        <v>0.5</v>
      </c>
      <c r="F2833" s="27" t="s">
        <v>1521</v>
      </c>
      <c r="G2833" s="23">
        <v>17.850499999999997</v>
      </c>
      <c r="H2833" s="27" t="s">
        <v>135</v>
      </c>
      <c r="I2833" s="23">
        <f>IF(ISNUMBER(G2833),E2833*G2833,"")</f>
        <v>8.9252499999999984</v>
      </c>
      <c r="J2833" s="28">
        <f>SUM(I2833:I2836)</f>
        <v>25.749749999999999</v>
      </c>
      <c r="K2833" s="29"/>
      <c r="L2833" s="174">
        <v>0</v>
      </c>
    </row>
    <row r="2834" spans="1:12" ht="15.75" hidden="1" thickBot="1" x14ac:dyDescent="0.3">
      <c r="A2834" s="181"/>
      <c r="B2834" s="179"/>
      <c r="C2834" s="25" t="s">
        <v>38</v>
      </c>
      <c r="D2834" s="25" t="s">
        <v>21</v>
      </c>
      <c r="E2834" s="26">
        <v>0.5</v>
      </c>
      <c r="F2834" s="27" t="s">
        <v>1521</v>
      </c>
      <c r="G2834" s="23">
        <v>14.325999999999999</v>
      </c>
      <c r="H2834" s="27" t="s">
        <v>39</v>
      </c>
      <c r="I2834" s="23">
        <f>IF(ISNUMBER(G2834),E2834*G2834,"")</f>
        <v>7.1629999999999994</v>
      </c>
      <c r="J2834" s="24"/>
      <c r="K2834" s="19"/>
      <c r="L2834" s="174">
        <v>0</v>
      </c>
    </row>
    <row r="2835" spans="1:12" ht="15.75" hidden="1" thickBot="1" x14ac:dyDescent="0.3">
      <c r="A2835" s="181"/>
      <c r="B2835" s="179"/>
      <c r="C2835" s="25" t="s">
        <v>608</v>
      </c>
      <c r="D2835" s="25" t="s">
        <v>1511</v>
      </c>
      <c r="E2835" s="26">
        <v>1.5</v>
      </c>
      <c r="F2835" s="27" t="s">
        <v>1521</v>
      </c>
      <c r="G2835" s="19">
        <v>6.4409999999999998</v>
      </c>
      <c r="H2835" s="27" t="s">
        <v>609</v>
      </c>
      <c r="I2835" s="23">
        <f>IF(ISNUMBER(G2835),E2835*G2835,"")</f>
        <v>9.6615000000000002</v>
      </c>
      <c r="J2835" s="24"/>
      <c r="K2835" s="19"/>
      <c r="L2835" s="174">
        <v>0</v>
      </c>
    </row>
    <row r="2836" spans="1:12" ht="15.75" hidden="1" thickBot="1" x14ac:dyDescent="0.3">
      <c r="A2836" s="181"/>
      <c r="B2836" s="179"/>
      <c r="C2836" s="25" t="s">
        <v>1624</v>
      </c>
      <c r="D2836" s="25" t="s">
        <v>189</v>
      </c>
      <c r="E2836" s="26">
        <v>1</v>
      </c>
      <c r="F2836" s="27" t="s">
        <v>1521</v>
      </c>
      <c r="G2836" s="19" t="s">
        <v>1079</v>
      </c>
      <c r="H2836" s="27" t="s">
        <v>33</v>
      </c>
      <c r="I2836" s="23" t="str">
        <f>IF(ISNUMBER(G2836),E2836*G2836,"")</f>
        <v/>
      </c>
      <c r="J2836" s="24"/>
      <c r="K2836" s="19"/>
      <c r="L2836" s="174">
        <v>0</v>
      </c>
    </row>
    <row r="2837" spans="1:12" ht="15.75" hidden="1" thickBot="1" x14ac:dyDescent="0.3">
      <c r="A2837" s="182"/>
      <c r="B2837" s="183"/>
      <c r="C2837" s="25"/>
      <c r="D2837" s="25"/>
      <c r="E2837" s="26"/>
      <c r="F2837" s="27"/>
      <c r="G2837" s="19" t="s">
        <v>1079</v>
      </c>
      <c r="H2837" s="27"/>
      <c r="I2837" s="23" t="str">
        <f>IF(ISNUMBER(G2837),E2837*G2837,"")</f>
        <v/>
      </c>
      <c r="J2837" s="24"/>
      <c r="K2837" s="19"/>
      <c r="L2837" s="174">
        <v>0</v>
      </c>
    </row>
    <row r="2838" spans="1:12" ht="15.75" hidden="1" thickBot="1" x14ac:dyDescent="0.3">
      <c r="A2838" s="180" t="s">
        <v>1625</v>
      </c>
      <c r="B2838" s="178" t="str">
        <f>INDEX(Orçamentária!A:B,MATCH(Composições!A2838,Orçamentária!A:A,0),2)</f>
        <v>Puxador em aço inox sob medida – Tipo B</v>
      </c>
      <c r="C2838" s="30"/>
      <c r="D2838" s="13" t="str">
        <f>TRIM(INDEX(Orçamentária!C:C,MATCH(Composições!A2838,Orçamentária!A:A,0),1))</f>
        <v>un</v>
      </c>
      <c r="E2838" s="14"/>
      <c r="F2838" s="15" t="str">
        <f>F2840</f>
        <v>Senado Federal</v>
      </c>
      <c r="G2838" s="31" t="s">
        <v>1079</v>
      </c>
      <c r="H2838" s="16"/>
      <c r="I2838" s="16" t="str">
        <f>IF(ISNUMBER(G2838),E2838*G2838,"")</f>
        <v/>
      </c>
      <c r="J2838" s="17"/>
      <c r="K2838" s="18"/>
      <c r="L2838" s="174">
        <v>0</v>
      </c>
    </row>
    <row r="2839" spans="1:12" ht="15.75" hidden="1" thickBot="1" x14ac:dyDescent="0.3">
      <c r="A2839" s="181"/>
      <c r="B2839" s="179"/>
      <c r="C2839" s="20"/>
      <c r="D2839" s="20"/>
      <c r="E2839" s="21"/>
      <c r="F2839" s="43"/>
      <c r="G2839" s="32" t="s">
        <v>1079</v>
      </c>
      <c r="H2839" s="20"/>
      <c r="I2839" s="23" t="str">
        <f>IF(ISNUMBER(G2839),E2839*G2839,"")</f>
        <v/>
      </c>
      <c r="J2839" s="24"/>
      <c r="K2839" s="19"/>
      <c r="L2839" s="174">
        <v>0</v>
      </c>
    </row>
    <row r="2840" spans="1:12" ht="15.75" hidden="1" thickBot="1" x14ac:dyDescent="0.3">
      <c r="A2840" s="181"/>
      <c r="B2840" s="179"/>
      <c r="C2840" s="25" t="s">
        <v>134</v>
      </c>
      <c r="D2840" s="36" t="s">
        <v>21</v>
      </c>
      <c r="E2840" s="26">
        <v>0.4</v>
      </c>
      <c r="F2840" s="27" t="s">
        <v>17</v>
      </c>
      <c r="G2840" s="23">
        <v>17.850499999999997</v>
      </c>
      <c r="H2840" s="27" t="s">
        <v>135</v>
      </c>
      <c r="I2840" s="23">
        <f>IF(ISNUMBER(G2840),E2840*G2840,"")</f>
        <v>7.1401999999999992</v>
      </c>
      <c r="J2840" s="28">
        <f>SUM(I2840:I2841)</f>
        <v>7.1401999999999992</v>
      </c>
      <c r="K2840" s="29"/>
      <c r="L2840" s="174">
        <v>0</v>
      </c>
    </row>
    <row r="2841" spans="1:12" ht="15.75" hidden="1" thickBot="1" x14ac:dyDescent="0.3">
      <c r="A2841" s="181"/>
      <c r="B2841" s="179"/>
      <c r="C2841" s="25" t="s">
        <v>1626</v>
      </c>
      <c r="D2841" s="36" t="s">
        <v>32</v>
      </c>
      <c r="E2841" s="26">
        <v>1</v>
      </c>
      <c r="F2841" s="27" t="s">
        <v>17</v>
      </c>
      <c r="G2841" s="19" t="s">
        <v>1079</v>
      </c>
      <c r="H2841" s="27" t="s">
        <v>33</v>
      </c>
      <c r="I2841" s="23" t="str">
        <f>IF(ISNUMBER(G2841),E2841*G2841,"")</f>
        <v/>
      </c>
      <c r="J2841" s="24"/>
      <c r="K2841" s="19"/>
      <c r="L2841" s="174">
        <v>0</v>
      </c>
    </row>
    <row r="2842" spans="1:12" ht="15.75" hidden="1" thickBot="1" x14ac:dyDescent="0.3">
      <c r="A2842" s="182"/>
      <c r="B2842" s="183"/>
      <c r="C2842" s="25"/>
      <c r="D2842" s="25"/>
      <c r="E2842" s="26"/>
      <c r="F2842" s="27"/>
      <c r="G2842" s="19" t="s">
        <v>1079</v>
      </c>
      <c r="H2842" s="27"/>
      <c r="I2842" s="23" t="str">
        <f>IF(ISNUMBER(G2842),E2842*G2842,"")</f>
        <v/>
      </c>
      <c r="J2842" s="24"/>
      <c r="K2842" s="19"/>
      <c r="L2842" s="174">
        <v>0</v>
      </c>
    </row>
    <row r="2843" spans="1:12" ht="15.75" hidden="1" thickBot="1" x14ac:dyDescent="0.3">
      <c r="A2843" s="180" t="s">
        <v>1627</v>
      </c>
      <c r="B2843" s="178" t="str">
        <f>INDEX(Orçamentária!A:B,MATCH(Composições!A2843,Orçamentária!A:A,0),2)</f>
        <v>Armação de aço CA-50 bitolas de 5,0mm a 8,00mm</v>
      </c>
      <c r="C2843" s="30"/>
      <c r="D2843" s="13" t="str">
        <f>TRIM(INDEX(Orçamentária!C:C,MATCH(Composições!A2843,Orçamentária!A:A,0),1))</f>
        <v>kg</v>
      </c>
      <c r="E2843" s="14"/>
      <c r="F2843" s="15" t="s">
        <v>1628</v>
      </c>
      <c r="G2843" s="31" t="s">
        <v>1079</v>
      </c>
      <c r="H2843" s="16"/>
      <c r="I2843" s="16" t="str">
        <f>IF(ISNUMBER(G2843),E2843*G2843,"")</f>
        <v/>
      </c>
      <c r="J2843" s="17"/>
      <c r="K2843" s="18"/>
      <c r="L2843" s="174">
        <v>0</v>
      </c>
    </row>
    <row r="2844" spans="1:12" ht="15.75" hidden="1" thickBot="1" x14ac:dyDescent="0.3">
      <c r="A2844" s="181"/>
      <c r="B2844" s="179"/>
      <c r="C2844" s="20"/>
      <c r="D2844" s="20"/>
      <c r="E2844" s="21"/>
      <c r="F2844" s="22"/>
      <c r="G2844" s="32" t="s">
        <v>1079</v>
      </c>
      <c r="H2844" s="20"/>
      <c r="I2844" s="23" t="str">
        <f>IF(ISNUMBER(G2844),E2844*G2844,"")</f>
        <v/>
      </c>
      <c r="J2844" s="24"/>
      <c r="K2844" s="19"/>
      <c r="L2844" s="174">
        <v>0</v>
      </c>
    </row>
    <row r="2845" spans="1:12" ht="26.25" hidden="1" thickBot="1" x14ac:dyDescent="0.3">
      <c r="A2845" s="181"/>
      <c r="B2845" s="179"/>
      <c r="C2845" s="25" t="s">
        <v>1016</v>
      </c>
      <c r="D2845" s="36" t="s">
        <v>1629</v>
      </c>
      <c r="E2845" s="26">
        <v>2.5000000000000001E-2</v>
      </c>
      <c r="F2845" s="27" t="s">
        <v>1628</v>
      </c>
      <c r="G2845" s="19">
        <v>12.426</v>
      </c>
      <c r="H2845" s="27" t="s">
        <v>1017</v>
      </c>
      <c r="I2845" s="23">
        <f>IF(ISNUMBER(G2845),E2845*G2845,"")</f>
        <v>0.31065000000000004</v>
      </c>
      <c r="J2845" s="28">
        <f>SUM(I2845:I2849)</f>
        <v>9.7407813000000001</v>
      </c>
      <c r="K2845" s="29"/>
      <c r="L2845" s="174">
        <v>0</v>
      </c>
    </row>
    <row r="2846" spans="1:12" ht="39" hidden="1" thickBot="1" x14ac:dyDescent="0.3">
      <c r="A2846" s="181"/>
      <c r="B2846" s="179"/>
      <c r="C2846" s="25" t="s">
        <v>1630</v>
      </c>
      <c r="D2846" s="36" t="s">
        <v>588</v>
      </c>
      <c r="E2846" s="26">
        <v>0.74299999999999999</v>
      </c>
      <c r="F2846" s="27" t="s">
        <v>1628</v>
      </c>
      <c r="G2846" s="19">
        <v>0.1235</v>
      </c>
      <c r="H2846" s="27" t="s">
        <v>1631</v>
      </c>
      <c r="I2846" s="23">
        <f>IF(ISNUMBER(G2846),E2846*G2846,"")</f>
        <v>9.1760499999999995E-2</v>
      </c>
      <c r="J2846" s="24"/>
      <c r="K2846" s="19"/>
      <c r="L2846" s="174">
        <v>0</v>
      </c>
    </row>
    <row r="2847" spans="1:12" ht="15.75" hidden="1" thickBot="1" x14ac:dyDescent="0.3">
      <c r="A2847" s="181"/>
      <c r="B2847" s="179"/>
      <c r="C2847" s="25" t="s">
        <v>1632</v>
      </c>
      <c r="D2847" s="36" t="s">
        <v>1366</v>
      </c>
      <c r="E2847" s="26">
        <v>2.0899999999999998E-2</v>
      </c>
      <c r="F2847" s="27" t="s">
        <v>1628</v>
      </c>
      <c r="G2847" s="19">
        <v>14.933999999999999</v>
      </c>
      <c r="H2847" s="27" t="s">
        <v>1633</v>
      </c>
      <c r="I2847" s="23">
        <f>IF(ISNUMBER(G2847),E2847*G2847,"")</f>
        <v>0.31212059999999997</v>
      </c>
      <c r="J2847" s="24"/>
      <c r="K2847" s="19"/>
      <c r="L2847" s="174">
        <v>0</v>
      </c>
    </row>
    <row r="2848" spans="1:12" ht="15.75" hidden="1" thickBot="1" x14ac:dyDescent="0.3">
      <c r="A2848" s="181"/>
      <c r="B2848" s="179"/>
      <c r="C2848" s="25" t="s">
        <v>1634</v>
      </c>
      <c r="D2848" s="25" t="s">
        <v>1366</v>
      </c>
      <c r="E2848" s="26">
        <v>0.1278</v>
      </c>
      <c r="F2848" s="27" t="s">
        <v>1628</v>
      </c>
      <c r="G2848" s="19">
        <v>19.056999999999999</v>
      </c>
      <c r="H2848" s="27" t="s">
        <v>1635</v>
      </c>
      <c r="I2848" s="23">
        <f>IF(ISNUMBER(G2848),E2848*G2848,"")</f>
        <v>2.4354845999999997</v>
      </c>
      <c r="J2848" s="24"/>
      <c r="K2848" s="19"/>
      <c r="L2848" s="174">
        <v>0</v>
      </c>
    </row>
    <row r="2849" spans="1:12" ht="26.25" hidden="1" thickBot="1" x14ac:dyDescent="0.3">
      <c r="A2849" s="181"/>
      <c r="B2849" s="179"/>
      <c r="C2849" s="25" t="s">
        <v>1636</v>
      </c>
      <c r="D2849" s="25" t="s">
        <v>1629</v>
      </c>
      <c r="E2849" s="26">
        <v>1</v>
      </c>
      <c r="F2849" s="27" t="s">
        <v>1628</v>
      </c>
      <c r="G2849" s="19">
        <v>6.5907656000000001</v>
      </c>
      <c r="H2849" s="27" t="s">
        <v>1637</v>
      </c>
      <c r="I2849" s="23">
        <f>IF(ISNUMBER(G2849),E2849*G2849,"")</f>
        <v>6.5907656000000001</v>
      </c>
      <c r="J2849" s="24"/>
      <c r="K2849" s="19"/>
      <c r="L2849" s="174">
        <v>0</v>
      </c>
    </row>
    <row r="2850" spans="1:12" ht="15.75" hidden="1" thickBot="1" x14ac:dyDescent="0.3">
      <c r="A2850" s="182"/>
      <c r="B2850" s="183"/>
      <c r="C2850" s="25"/>
      <c r="D2850" s="25"/>
      <c r="E2850" s="26"/>
      <c r="F2850" s="27"/>
      <c r="G2850" s="19" t="s">
        <v>1079</v>
      </c>
      <c r="H2850" s="27"/>
      <c r="I2850" s="23" t="str">
        <f>IF(ISNUMBER(G2850),E2850*G2850,"")</f>
        <v/>
      </c>
      <c r="J2850" s="24"/>
      <c r="K2850" s="19"/>
      <c r="L2850" s="174">
        <v>0</v>
      </c>
    </row>
    <row r="2851" spans="1:12" ht="15.75" hidden="1" thickBot="1" x14ac:dyDescent="0.3">
      <c r="A2851" s="180" t="s">
        <v>1638</v>
      </c>
      <c r="B2851" s="178" t="str">
        <f>INDEX(Orçamentária!A:B,MATCH(Composições!A2851,Orçamentária!A:A,0),2)</f>
        <v>Pivô para dobradiça inferior (Montagem com a 1103-TQ)</v>
      </c>
      <c r="C2851" s="30"/>
      <c r="D2851" s="13" t="str">
        <f>TRIM(INDEX(Orçamentária!C:C,MATCH(Composições!A2851,Orçamentária!A:A,0),1))</f>
        <v>un</v>
      </c>
      <c r="E2851" s="14"/>
      <c r="F2851" s="15" t="str">
        <f>F2853</f>
        <v>Senado Federal</v>
      </c>
      <c r="G2851" s="31" t="s">
        <v>1079</v>
      </c>
      <c r="H2851" s="16"/>
      <c r="I2851" s="16" t="str">
        <f>IF(ISNUMBER(G2851),E2851*G2851,"")</f>
        <v/>
      </c>
      <c r="J2851" s="17"/>
      <c r="K2851" s="18"/>
      <c r="L2851" s="174">
        <v>0</v>
      </c>
    </row>
    <row r="2852" spans="1:12" ht="15.75" hidden="1" thickBot="1" x14ac:dyDescent="0.3">
      <c r="A2852" s="181"/>
      <c r="B2852" s="179"/>
      <c r="C2852" s="20"/>
      <c r="D2852" s="20"/>
      <c r="E2852" s="21"/>
      <c r="F2852" s="43"/>
      <c r="G2852" s="32" t="s">
        <v>1079</v>
      </c>
      <c r="H2852" s="20"/>
      <c r="I2852" s="23" t="str">
        <f>IF(ISNUMBER(G2852),E2852*G2852,"")</f>
        <v/>
      </c>
      <c r="J2852" s="24"/>
      <c r="K2852" s="19"/>
      <c r="L2852" s="174">
        <v>0</v>
      </c>
    </row>
    <row r="2853" spans="1:12" ht="15.75" hidden="1" thickBot="1" x14ac:dyDescent="0.3">
      <c r="A2853" s="181"/>
      <c r="B2853" s="179"/>
      <c r="C2853" s="25" t="s">
        <v>134</v>
      </c>
      <c r="D2853" s="25" t="s">
        <v>21</v>
      </c>
      <c r="E2853" s="26">
        <v>0.2</v>
      </c>
      <c r="F2853" s="27" t="s">
        <v>17</v>
      </c>
      <c r="G2853" s="23">
        <v>17.850499999999997</v>
      </c>
      <c r="H2853" s="27" t="s">
        <v>135</v>
      </c>
      <c r="I2853" s="23">
        <f>IF(ISNUMBER(G2853),E2853*G2853,"")</f>
        <v>3.5700999999999996</v>
      </c>
      <c r="J2853" s="28">
        <f>SUM(I2853:I2854)</f>
        <v>3.5700999999999996</v>
      </c>
      <c r="K2853" s="29"/>
      <c r="L2853" s="174">
        <v>0</v>
      </c>
    </row>
    <row r="2854" spans="1:12" ht="26.25" hidden="1" thickBot="1" x14ac:dyDescent="0.3">
      <c r="A2854" s="181"/>
      <c r="B2854" s="179"/>
      <c r="C2854" s="25" t="s">
        <v>1639</v>
      </c>
      <c r="D2854" s="25" t="s">
        <v>32</v>
      </c>
      <c r="E2854" s="26">
        <v>1</v>
      </c>
      <c r="F2854" s="27" t="s">
        <v>17</v>
      </c>
      <c r="G2854" s="19" t="s">
        <v>1079</v>
      </c>
      <c r="H2854" s="27" t="s">
        <v>33</v>
      </c>
      <c r="I2854" s="23" t="str">
        <f>IF(ISNUMBER(G2854),E2854*G2854,"")</f>
        <v/>
      </c>
      <c r="J2854" s="24"/>
      <c r="K2854" s="19"/>
      <c r="L2854" s="174">
        <v>0</v>
      </c>
    </row>
    <row r="2855" spans="1:12" ht="15.75" hidden="1" thickBot="1" x14ac:dyDescent="0.3">
      <c r="A2855" s="182"/>
      <c r="B2855" s="183"/>
      <c r="C2855" s="25"/>
      <c r="D2855" s="25"/>
      <c r="E2855" s="26"/>
      <c r="F2855" s="27"/>
      <c r="G2855" s="19" t="s">
        <v>1079</v>
      </c>
      <c r="H2855" s="27"/>
      <c r="I2855" s="23" t="str">
        <f>IF(ISNUMBER(G2855),E2855*G2855,"")</f>
        <v/>
      </c>
      <c r="J2855" s="24"/>
      <c r="K2855" s="19"/>
      <c r="L2855" s="174">
        <v>0</v>
      </c>
    </row>
    <row r="2856" spans="1:12" ht="15.75" hidden="1" thickBot="1" x14ac:dyDescent="0.3">
      <c r="A2856" s="180" t="s">
        <v>1640</v>
      </c>
      <c r="B2856" s="178" t="str">
        <f>INDEX(Orçamentária!A:B,MATCH(Composições!A2856,Orçamentária!A:A,0),2)</f>
        <v>Dobradiça direita inferior excêntrica</v>
      </c>
      <c r="C2856" s="30"/>
      <c r="D2856" s="13" t="str">
        <f>TRIM(INDEX(Orçamentária!C:C,MATCH(Composições!A2856,Orçamentária!A:A,0),1))</f>
        <v>un</v>
      </c>
      <c r="E2856" s="14"/>
      <c r="F2856" s="15" t="str">
        <f>F2858</f>
        <v>Senado Federal</v>
      </c>
      <c r="G2856" s="31" t="s">
        <v>1079</v>
      </c>
      <c r="H2856" s="16"/>
      <c r="I2856" s="16" t="str">
        <f>IF(ISNUMBER(G2856),E2856*G2856,"")</f>
        <v/>
      </c>
      <c r="J2856" s="17"/>
      <c r="K2856" s="18"/>
      <c r="L2856" s="174">
        <v>0</v>
      </c>
    </row>
    <row r="2857" spans="1:12" ht="15.75" hidden="1" thickBot="1" x14ac:dyDescent="0.3">
      <c r="A2857" s="181"/>
      <c r="B2857" s="179"/>
      <c r="C2857" s="20"/>
      <c r="D2857" s="20"/>
      <c r="E2857" s="21"/>
      <c r="F2857" s="43"/>
      <c r="G2857" s="32" t="s">
        <v>1079</v>
      </c>
      <c r="H2857" s="20"/>
      <c r="I2857" s="23" t="str">
        <f>IF(ISNUMBER(G2857),E2857*G2857,"")</f>
        <v/>
      </c>
      <c r="J2857" s="24"/>
      <c r="K2857" s="19"/>
      <c r="L2857" s="174">
        <v>0</v>
      </c>
    </row>
    <row r="2858" spans="1:12" ht="15.75" hidden="1" thickBot="1" x14ac:dyDescent="0.3">
      <c r="A2858" s="181"/>
      <c r="B2858" s="179"/>
      <c r="C2858" s="25" t="s">
        <v>134</v>
      </c>
      <c r="D2858" s="25" t="s">
        <v>21</v>
      </c>
      <c r="E2858" s="26">
        <v>0.3</v>
      </c>
      <c r="F2858" s="27" t="s">
        <v>17</v>
      </c>
      <c r="G2858" s="23">
        <v>17.850499999999997</v>
      </c>
      <c r="H2858" s="27" t="s">
        <v>135</v>
      </c>
      <c r="I2858" s="23">
        <f>IF(ISNUMBER(G2858),E2858*G2858,"")</f>
        <v>5.3551499999999992</v>
      </c>
      <c r="J2858" s="28">
        <f>SUM(I2858:I2859)</f>
        <v>5.3551499999999992</v>
      </c>
      <c r="K2858" s="29"/>
      <c r="L2858" s="174">
        <v>0</v>
      </c>
    </row>
    <row r="2859" spans="1:12" ht="39" hidden="1" thickBot="1" x14ac:dyDescent="0.3">
      <c r="A2859" s="181"/>
      <c r="B2859" s="179"/>
      <c r="C2859" s="25" t="s">
        <v>1641</v>
      </c>
      <c r="D2859" s="25" t="s">
        <v>32</v>
      </c>
      <c r="E2859" s="26">
        <v>1</v>
      </c>
      <c r="F2859" s="27" t="s">
        <v>17</v>
      </c>
      <c r="G2859" s="19" t="s">
        <v>1079</v>
      </c>
      <c r="H2859" s="27" t="s">
        <v>33</v>
      </c>
      <c r="I2859" s="23" t="str">
        <f>IF(ISNUMBER(G2859),E2859*G2859,"")</f>
        <v/>
      </c>
      <c r="J2859" s="24"/>
      <c r="K2859" s="19"/>
      <c r="L2859" s="174">
        <v>0</v>
      </c>
    </row>
    <row r="2860" spans="1:12" ht="15.75" hidden="1" thickBot="1" x14ac:dyDescent="0.3">
      <c r="A2860" s="182"/>
      <c r="B2860" s="183"/>
      <c r="C2860" s="25"/>
      <c r="D2860" s="25"/>
      <c r="E2860" s="26"/>
      <c r="F2860" s="27"/>
      <c r="G2860" s="19" t="s">
        <v>1079</v>
      </c>
      <c r="H2860" s="27"/>
      <c r="I2860" s="23" t="str">
        <f>IF(ISNUMBER(G2860),E2860*G2860,"")</f>
        <v/>
      </c>
      <c r="J2860" s="24"/>
      <c r="K2860" s="19"/>
      <c r="L2860" s="174">
        <v>0</v>
      </c>
    </row>
    <row r="2861" spans="1:12" ht="15.75" hidden="1" thickBot="1" x14ac:dyDescent="0.3">
      <c r="A2861" s="180" t="s">
        <v>1642</v>
      </c>
      <c r="B2861" s="178" t="str">
        <f>INDEX(Orçamentária!A:B,MATCH(Composições!A2861,Orçamentária!A:A,0),2)</f>
        <v>Dobradiça esquerda inferior excêntrica</v>
      </c>
      <c r="C2861" s="30"/>
      <c r="D2861" s="13" t="str">
        <f>TRIM(INDEX(Orçamentária!C:C,MATCH(Composições!A2861,Orçamentária!A:A,0),1))</f>
        <v>un</v>
      </c>
      <c r="E2861" s="14"/>
      <c r="F2861" s="15" t="str">
        <f>F2863</f>
        <v>Senado Federal</v>
      </c>
      <c r="G2861" s="31" t="s">
        <v>1079</v>
      </c>
      <c r="H2861" s="16"/>
      <c r="I2861" s="16" t="str">
        <f>IF(ISNUMBER(G2861),E2861*G2861,"")</f>
        <v/>
      </c>
      <c r="J2861" s="17"/>
      <c r="K2861" s="18"/>
      <c r="L2861" s="174">
        <v>0</v>
      </c>
    </row>
    <row r="2862" spans="1:12" ht="15.75" hidden="1" thickBot="1" x14ac:dyDescent="0.3">
      <c r="A2862" s="181"/>
      <c r="B2862" s="179"/>
      <c r="C2862" s="20"/>
      <c r="D2862" s="20"/>
      <c r="E2862" s="21"/>
      <c r="F2862" s="43"/>
      <c r="G2862" s="32" t="s">
        <v>1079</v>
      </c>
      <c r="H2862" s="20"/>
      <c r="I2862" s="23" t="str">
        <f>IF(ISNUMBER(G2862),E2862*G2862,"")</f>
        <v/>
      </c>
      <c r="J2862" s="24"/>
      <c r="K2862" s="19"/>
      <c r="L2862" s="174">
        <v>0</v>
      </c>
    </row>
    <row r="2863" spans="1:12" ht="15.75" hidden="1" thickBot="1" x14ac:dyDescent="0.3">
      <c r="A2863" s="181"/>
      <c r="B2863" s="179"/>
      <c r="C2863" s="25" t="s">
        <v>134</v>
      </c>
      <c r="D2863" s="25" t="s">
        <v>21</v>
      </c>
      <c r="E2863" s="26">
        <v>0.3</v>
      </c>
      <c r="F2863" s="27" t="s">
        <v>17</v>
      </c>
      <c r="G2863" s="23">
        <v>17.850499999999997</v>
      </c>
      <c r="H2863" s="27" t="s">
        <v>135</v>
      </c>
      <c r="I2863" s="23">
        <f>IF(ISNUMBER(G2863),E2863*G2863,"")</f>
        <v>5.3551499999999992</v>
      </c>
      <c r="J2863" s="28">
        <f>SUM(I2863:I2864)</f>
        <v>5.3551499999999992</v>
      </c>
      <c r="K2863" s="29"/>
      <c r="L2863" s="174">
        <v>0</v>
      </c>
    </row>
    <row r="2864" spans="1:12" ht="39" hidden="1" thickBot="1" x14ac:dyDescent="0.3">
      <c r="A2864" s="181"/>
      <c r="B2864" s="179"/>
      <c r="C2864" s="25" t="s">
        <v>1643</v>
      </c>
      <c r="D2864" s="25" t="s">
        <v>32</v>
      </c>
      <c r="E2864" s="26">
        <v>1</v>
      </c>
      <c r="F2864" s="27" t="s">
        <v>17</v>
      </c>
      <c r="G2864" s="19" t="s">
        <v>1079</v>
      </c>
      <c r="H2864" s="27" t="s">
        <v>33</v>
      </c>
      <c r="I2864" s="23" t="str">
        <f>IF(ISNUMBER(G2864),E2864*G2864,"")</f>
        <v/>
      </c>
      <c r="J2864" s="24"/>
      <c r="K2864" s="19"/>
      <c r="L2864" s="174">
        <v>0</v>
      </c>
    </row>
    <row r="2865" spans="1:12" ht="15.75" hidden="1" thickBot="1" x14ac:dyDescent="0.3">
      <c r="A2865" s="182"/>
      <c r="B2865" s="183"/>
      <c r="C2865" s="25"/>
      <c r="D2865" s="25"/>
      <c r="E2865" s="26"/>
      <c r="F2865" s="27"/>
      <c r="G2865" s="19" t="s">
        <v>1079</v>
      </c>
      <c r="H2865" s="27"/>
      <c r="I2865" s="23" t="str">
        <f>IF(ISNUMBER(G2865),E2865*G2865,"")</f>
        <v/>
      </c>
      <c r="J2865" s="24"/>
      <c r="K2865" s="19"/>
      <c r="L2865" s="174">
        <v>0</v>
      </c>
    </row>
    <row r="2866" spans="1:12" ht="15.75" hidden="1" thickBot="1" x14ac:dyDescent="0.3">
      <c r="A2866" s="180" t="s">
        <v>1644</v>
      </c>
      <c r="B2866" s="178" t="str">
        <f>INDEX(Orçamentária!A:B,MATCH(Composições!A2866,Orçamentária!A:A,0),2)</f>
        <v>Dobradiça pivotante inferior com trinco</v>
      </c>
      <c r="C2866" s="30"/>
      <c r="D2866" s="13" t="str">
        <f>TRIM(INDEX(Orçamentária!C:C,MATCH(Composições!A2866,Orçamentária!A:A,0),1))</f>
        <v>un</v>
      </c>
      <c r="E2866" s="14"/>
      <c r="F2866" s="15" t="str">
        <f>F2868</f>
        <v>Senado Federal</v>
      </c>
      <c r="G2866" s="31" t="s">
        <v>1079</v>
      </c>
      <c r="H2866" s="16"/>
      <c r="I2866" s="16" t="str">
        <f>IF(ISNUMBER(G2866),E2866*G2866,"")</f>
        <v/>
      </c>
      <c r="J2866" s="17"/>
      <c r="K2866" s="18"/>
      <c r="L2866" s="174">
        <v>0</v>
      </c>
    </row>
    <row r="2867" spans="1:12" ht="15.75" hidden="1" thickBot="1" x14ac:dyDescent="0.3">
      <c r="A2867" s="181"/>
      <c r="B2867" s="179"/>
      <c r="C2867" s="20"/>
      <c r="D2867" s="20"/>
      <c r="E2867" s="21"/>
      <c r="F2867" s="43"/>
      <c r="G2867" s="32" t="s">
        <v>1079</v>
      </c>
      <c r="H2867" s="20"/>
      <c r="I2867" s="23" t="str">
        <f>IF(ISNUMBER(G2867),E2867*G2867,"")</f>
        <v/>
      </c>
      <c r="J2867" s="24"/>
      <c r="K2867" s="19"/>
      <c r="L2867" s="174">
        <v>0</v>
      </c>
    </row>
    <row r="2868" spans="1:12" ht="15.75" hidden="1" thickBot="1" x14ac:dyDescent="0.3">
      <c r="A2868" s="181"/>
      <c r="B2868" s="179"/>
      <c r="C2868" s="25" t="s">
        <v>134</v>
      </c>
      <c r="D2868" s="25" t="s">
        <v>21</v>
      </c>
      <c r="E2868" s="26">
        <v>0.3</v>
      </c>
      <c r="F2868" s="27" t="s">
        <v>17</v>
      </c>
      <c r="G2868" s="23">
        <v>17.850499999999997</v>
      </c>
      <c r="H2868" s="27" t="s">
        <v>135</v>
      </c>
      <c r="I2868" s="23">
        <f>IF(ISNUMBER(G2868),E2868*G2868,"")</f>
        <v>5.3551499999999992</v>
      </c>
      <c r="J2868" s="28">
        <f>SUM(I2868:I2869)</f>
        <v>5.3551499999999992</v>
      </c>
      <c r="K2868" s="29"/>
      <c r="L2868" s="174">
        <v>0</v>
      </c>
    </row>
    <row r="2869" spans="1:12" ht="26.25" hidden="1" thickBot="1" x14ac:dyDescent="0.3">
      <c r="A2869" s="181"/>
      <c r="B2869" s="179"/>
      <c r="C2869" s="25" t="s">
        <v>1645</v>
      </c>
      <c r="D2869" s="25" t="s">
        <v>32</v>
      </c>
      <c r="E2869" s="26">
        <v>1</v>
      </c>
      <c r="F2869" s="27" t="s">
        <v>17</v>
      </c>
      <c r="G2869" s="19" t="s">
        <v>1079</v>
      </c>
      <c r="H2869" s="27" t="s">
        <v>33</v>
      </c>
      <c r="I2869" s="23" t="str">
        <f>IF(ISNUMBER(G2869),E2869*G2869,"")</f>
        <v/>
      </c>
      <c r="J2869" s="24"/>
      <c r="K2869" s="19"/>
      <c r="L2869" s="174">
        <v>0</v>
      </c>
    </row>
    <row r="2870" spans="1:12" ht="15.75" hidden="1" thickBot="1" x14ac:dyDescent="0.3">
      <c r="A2870" s="182"/>
      <c r="B2870" s="183"/>
      <c r="C2870" s="25"/>
      <c r="D2870" s="25"/>
      <c r="E2870" s="26"/>
      <c r="F2870" s="27"/>
      <c r="G2870" s="19" t="s">
        <v>1079</v>
      </c>
      <c r="H2870" s="27"/>
      <c r="I2870" s="23" t="str">
        <f>IF(ISNUMBER(G2870),E2870*G2870,"")</f>
        <v/>
      </c>
      <c r="J2870" s="24"/>
      <c r="K2870" s="19"/>
      <c r="L2870" s="174">
        <v>0</v>
      </c>
    </row>
    <row r="2871" spans="1:12" ht="15.75" hidden="1" thickBot="1" x14ac:dyDescent="0.3">
      <c r="A2871" s="180" t="s">
        <v>1646</v>
      </c>
      <c r="B2871" s="178" t="str">
        <f>INDEX(Orçamentária!A:B,MATCH(Composições!A2871,Orçamentária!A:A,0),2)</f>
        <v>Carrinho para porta de correr 1 roldana e 2 furos</v>
      </c>
      <c r="C2871" s="30"/>
      <c r="D2871" s="13" t="str">
        <f>TRIM(INDEX(Orçamentária!C:C,MATCH(Composições!A2871,Orçamentária!A:A,0),1))</f>
        <v>un</v>
      </c>
      <c r="E2871" s="14"/>
      <c r="F2871" s="15" t="str">
        <f>F2873</f>
        <v>Senado Federal</v>
      </c>
      <c r="G2871" s="31" t="s">
        <v>1079</v>
      </c>
      <c r="H2871" s="16"/>
      <c r="I2871" s="16" t="str">
        <f>IF(ISNUMBER(G2871),E2871*G2871,"")</f>
        <v/>
      </c>
      <c r="J2871" s="17"/>
      <c r="K2871" s="18"/>
      <c r="L2871" s="174">
        <v>0</v>
      </c>
    </row>
    <row r="2872" spans="1:12" ht="15.75" hidden="1" thickBot="1" x14ac:dyDescent="0.3">
      <c r="A2872" s="181"/>
      <c r="B2872" s="179"/>
      <c r="C2872" s="20"/>
      <c r="D2872" s="20"/>
      <c r="E2872" s="21"/>
      <c r="F2872" s="43"/>
      <c r="G2872" s="32" t="s">
        <v>1079</v>
      </c>
      <c r="H2872" s="20"/>
      <c r="I2872" s="23" t="str">
        <f>IF(ISNUMBER(G2872),E2872*G2872,"")</f>
        <v/>
      </c>
      <c r="J2872" s="24"/>
      <c r="K2872" s="19"/>
      <c r="L2872" s="174">
        <v>0</v>
      </c>
    </row>
    <row r="2873" spans="1:12" ht="15.75" hidden="1" thickBot="1" x14ac:dyDescent="0.3">
      <c r="A2873" s="181"/>
      <c r="B2873" s="179"/>
      <c r="C2873" s="25" t="s">
        <v>134</v>
      </c>
      <c r="D2873" s="25" t="s">
        <v>21</v>
      </c>
      <c r="E2873" s="26">
        <v>0.15</v>
      </c>
      <c r="F2873" s="27" t="s">
        <v>17</v>
      </c>
      <c r="G2873" s="23">
        <v>17.850499999999997</v>
      </c>
      <c r="H2873" s="27" t="s">
        <v>135</v>
      </c>
      <c r="I2873" s="23">
        <f>IF(ISNUMBER(G2873),E2873*G2873,"")</f>
        <v>2.6775749999999996</v>
      </c>
      <c r="J2873" s="28">
        <f>SUM(I2873:I2874)</f>
        <v>2.6775749999999996</v>
      </c>
      <c r="K2873" s="29"/>
      <c r="L2873" s="174">
        <v>0</v>
      </c>
    </row>
    <row r="2874" spans="1:12" ht="26.25" hidden="1" thickBot="1" x14ac:dyDescent="0.3">
      <c r="A2874" s="181"/>
      <c r="B2874" s="179"/>
      <c r="C2874" s="25" t="s">
        <v>1647</v>
      </c>
      <c r="D2874" s="25" t="s">
        <v>32</v>
      </c>
      <c r="E2874" s="26">
        <v>1</v>
      </c>
      <c r="F2874" s="27" t="s">
        <v>17</v>
      </c>
      <c r="G2874" s="19" t="s">
        <v>1079</v>
      </c>
      <c r="H2874" s="27" t="s">
        <v>33</v>
      </c>
      <c r="I2874" s="23" t="str">
        <f>IF(ISNUMBER(G2874),E2874*G2874,"")</f>
        <v/>
      </c>
      <c r="J2874" s="24"/>
      <c r="K2874" s="19"/>
      <c r="L2874" s="174">
        <v>0</v>
      </c>
    </row>
    <row r="2875" spans="1:12" ht="15.75" hidden="1" thickBot="1" x14ac:dyDescent="0.3">
      <c r="A2875" s="182"/>
      <c r="B2875" s="183"/>
      <c r="C2875" s="25"/>
      <c r="D2875" s="25"/>
      <c r="E2875" s="26"/>
      <c r="F2875" s="27"/>
      <c r="G2875" s="19" t="s">
        <v>1079</v>
      </c>
      <c r="H2875" s="27"/>
      <c r="I2875" s="23" t="str">
        <f>IF(ISNUMBER(G2875),E2875*G2875,"")</f>
        <v/>
      </c>
      <c r="J2875" s="24"/>
      <c r="K2875" s="19"/>
      <c r="L2875" s="174">
        <v>0</v>
      </c>
    </row>
    <row r="2876" spans="1:12" ht="15.75" hidden="1" thickBot="1" x14ac:dyDescent="0.3">
      <c r="A2876" s="180" t="s">
        <v>1648</v>
      </c>
      <c r="B2876" s="178" t="str">
        <f>INDEX(Orçamentária!A:B,MATCH(Composições!A2876,Orçamentária!A:A,0),2)</f>
        <v>Carrinho para porta de correr 2 roldanas e 2 furos</v>
      </c>
      <c r="C2876" s="30"/>
      <c r="D2876" s="13" t="str">
        <f>TRIM(INDEX(Orçamentária!C:C,MATCH(Composições!A2876,Orçamentária!A:A,0),1))</f>
        <v>un</v>
      </c>
      <c r="E2876" s="14"/>
      <c r="F2876" s="15" t="str">
        <f>F2878</f>
        <v>Senado Federal</v>
      </c>
      <c r="G2876" s="31" t="s">
        <v>1079</v>
      </c>
      <c r="H2876" s="16"/>
      <c r="I2876" s="16" t="str">
        <f>IF(ISNUMBER(G2876),E2876*G2876,"")</f>
        <v/>
      </c>
      <c r="J2876" s="17"/>
      <c r="K2876" s="18"/>
      <c r="L2876" s="174">
        <v>0</v>
      </c>
    </row>
    <row r="2877" spans="1:12" ht="15.75" hidden="1" thickBot="1" x14ac:dyDescent="0.3">
      <c r="A2877" s="181"/>
      <c r="B2877" s="179"/>
      <c r="C2877" s="20"/>
      <c r="D2877" s="20"/>
      <c r="E2877" s="21"/>
      <c r="F2877" s="43"/>
      <c r="G2877" s="32" t="s">
        <v>1079</v>
      </c>
      <c r="H2877" s="20"/>
      <c r="I2877" s="23" t="str">
        <f>IF(ISNUMBER(G2877),E2877*G2877,"")</f>
        <v/>
      </c>
      <c r="J2877" s="24"/>
      <c r="K2877" s="19"/>
      <c r="L2877" s="174">
        <v>0</v>
      </c>
    </row>
    <row r="2878" spans="1:12" ht="15.75" hidden="1" thickBot="1" x14ac:dyDescent="0.3">
      <c r="A2878" s="181"/>
      <c r="B2878" s="179"/>
      <c r="C2878" s="25" t="s">
        <v>134</v>
      </c>
      <c r="D2878" s="25" t="s">
        <v>21</v>
      </c>
      <c r="E2878" s="26">
        <v>0.15</v>
      </c>
      <c r="F2878" s="27" t="s">
        <v>17</v>
      </c>
      <c r="G2878" s="23">
        <v>17.850499999999997</v>
      </c>
      <c r="H2878" s="27" t="s">
        <v>135</v>
      </c>
      <c r="I2878" s="23">
        <f>IF(ISNUMBER(G2878),E2878*G2878,"")</f>
        <v>2.6775749999999996</v>
      </c>
      <c r="J2878" s="28">
        <f>SUM(I2878:I2879)</f>
        <v>2.6775749999999996</v>
      </c>
      <c r="K2878" s="29"/>
      <c r="L2878" s="174">
        <v>0</v>
      </c>
    </row>
    <row r="2879" spans="1:12" ht="26.25" hidden="1" thickBot="1" x14ac:dyDescent="0.3">
      <c r="A2879" s="181"/>
      <c r="B2879" s="179"/>
      <c r="C2879" s="25" t="s">
        <v>1649</v>
      </c>
      <c r="D2879" s="25" t="s">
        <v>32</v>
      </c>
      <c r="E2879" s="26">
        <v>1</v>
      </c>
      <c r="F2879" s="27" t="s">
        <v>17</v>
      </c>
      <c r="G2879" s="19" t="s">
        <v>1079</v>
      </c>
      <c r="H2879" s="27" t="s">
        <v>33</v>
      </c>
      <c r="I2879" s="23" t="str">
        <f>IF(ISNUMBER(G2879),E2879*G2879,"")</f>
        <v/>
      </c>
      <c r="J2879" s="24"/>
      <c r="K2879" s="19"/>
      <c r="L2879" s="174">
        <v>0</v>
      </c>
    </row>
    <row r="2880" spans="1:12" ht="15.75" hidden="1" thickBot="1" x14ac:dyDescent="0.3">
      <c r="A2880" s="182"/>
      <c r="B2880" s="183"/>
      <c r="C2880" s="25"/>
      <c r="D2880" s="25"/>
      <c r="E2880" s="26"/>
      <c r="F2880" s="27"/>
      <c r="G2880" s="19" t="s">
        <v>1079</v>
      </c>
      <c r="H2880" s="27"/>
      <c r="I2880" s="23" t="str">
        <f>IF(ISNUMBER(G2880),E2880*G2880,"")</f>
        <v/>
      </c>
      <c r="J2880" s="24"/>
      <c r="K2880" s="19"/>
      <c r="L2880" s="174">
        <v>0</v>
      </c>
    </row>
    <row r="2881" spans="1:12" ht="15.75" hidden="1" thickBot="1" x14ac:dyDescent="0.3">
      <c r="A2881" s="180" t="s">
        <v>1650</v>
      </c>
      <c r="B2881" s="178" t="str">
        <f>INDEX(Orçamentária!A:B,MATCH(Composições!A2881,Orçamentária!A:A,0),2)</f>
        <v>Carrinho para porta de correr com roldana côncava</v>
      </c>
      <c r="C2881" s="30"/>
      <c r="D2881" s="13" t="str">
        <f>TRIM(INDEX(Orçamentária!C:C,MATCH(Composições!A2881,Orçamentária!A:A,0),1))</f>
        <v>un</v>
      </c>
      <c r="E2881" s="14"/>
      <c r="F2881" s="15" t="str">
        <f>F2883</f>
        <v>Senado Federal</v>
      </c>
      <c r="G2881" s="31" t="s">
        <v>1079</v>
      </c>
      <c r="H2881" s="16"/>
      <c r="I2881" s="16" t="str">
        <f>IF(ISNUMBER(G2881),E2881*G2881,"")</f>
        <v/>
      </c>
      <c r="J2881" s="17"/>
      <c r="K2881" s="18"/>
      <c r="L2881" s="174">
        <v>0</v>
      </c>
    </row>
    <row r="2882" spans="1:12" ht="15.75" hidden="1" thickBot="1" x14ac:dyDescent="0.3">
      <c r="A2882" s="181"/>
      <c r="B2882" s="179"/>
      <c r="C2882" s="20"/>
      <c r="D2882" s="20"/>
      <c r="E2882" s="21"/>
      <c r="F2882" s="43"/>
      <c r="G2882" s="32" t="s">
        <v>1079</v>
      </c>
      <c r="H2882" s="20"/>
      <c r="I2882" s="23" t="str">
        <f>IF(ISNUMBER(G2882),E2882*G2882,"")</f>
        <v/>
      </c>
      <c r="J2882" s="24"/>
      <c r="K2882" s="19"/>
      <c r="L2882" s="174">
        <v>0</v>
      </c>
    </row>
    <row r="2883" spans="1:12" ht="15.75" hidden="1" thickBot="1" x14ac:dyDescent="0.3">
      <c r="A2883" s="181"/>
      <c r="B2883" s="179"/>
      <c r="C2883" s="25" t="s">
        <v>134</v>
      </c>
      <c r="D2883" s="25" t="s">
        <v>21</v>
      </c>
      <c r="E2883" s="26">
        <v>0.15</v>
      </c>
      <c r="F2883" s="27" t="s">
        <v>17</v>
      </c>
      <c r="G2883" s="23">
        <v>17.850499999999997</v>
      </c>
      <c r="H2883" s="27" t="s">
        <v>135</v>
      </c>
      <c r="I2883" s="23">
        <f>IF(ISNUMBER(G2883),E2883*G2883,"")</f>
        <v>2.6775749999999996</v>
      </c>
      <c r="J2883" s="28">
        <f>SUM(I2883:I2884)</f>
        <v>2.6775749999999996</v>
      </c>
      <c r="K2883" s="29"/>
      <c r="L2883" s="174">
        <v>0</v>
      </c>
    </row>
    <row r="2884" spans="1:12" ht="26.25" hidden="1" thickBot="1" x14ac:dyDescent="0.3">
      <c r="A2884" s="181"/>
      <c r="B2884" s="179"/>
      <c r="C2884" s="25" t="s">
        <v>1651</v>
      </c>
      <c r="D2884" s="25" t="s">
        <v>32</v>
      </c>
      <c r="E2884" s="26">
        <v>1</v>
      </c>
      <c r="F2884" s="27" t="s">
        <v>17</v>
      </c>
      <c r="G2884" s="19" t="s">
        <v>1079</v>
      </c>
      <c r="H2884" s="27" t="s">
        <v>33</v>
      </c>
      <c r="I2884" s="23" t="str">
        <f>IF(ISNUMBER(G2884),E2884*G2884,"")</f>
        <v/>
      </c>
      <c r="J2884" s="24"/>
      <c r="K2884" s="19"/>
      <c r="L2884" s="174">
        <v>0</v>
      </c>
    </row>
    <row r="2885" spans="1:12" ht="15.75" hidden="1" thickBot="1" x14ac:dyDescent="0.3">
      <c r="A2885" s="182"/>
      <c r="B2885" s="183"/>
      <c r="C2885" s="25"/>
      <c r="D2885" s="25"/>
      <c r="E2885" s="26"/>
      <c r="F2885" s="27"/>
      <c r="G2885" s="19" t="s">
        <v>1079</v>
      </c>
      <c r="H2885" s="27"/>
      <c r="I2885" s="23" t="str">
        <f>IF(ISNUMBER(G2885),E2885*G2885,"")</f>
        <v/>
      </c>
      <c r="J2885" s="24"/>
      <c r="K2885" s="19"/>
      <c r="L2885" s="174">
        <v>0</v>
      </c>
    </row>
    <row r="2886" spans="1:12" ht="15.75" hidden="1" thickBot="1" x14ac:dyDescent="0.3">
      <c r="A2886" s="180" t="s">
        <v>1652</v>
      </c>
      <c r="B2886" s="178" t="str">
        <f>INDEX(Orçamentária!A:B,MATCH(Composições!A2886,Orçamentária!A:A,0),2)</f>
        <v>Guia de nylon para porta de correr</v>
      </c>
      <c r="C2886" s="30"/>
      <c r="D2886" s="13" t="str">
        <f>TRIM(INDEX(Orçamentária!C:C,MATCH(Composições!A2886,Orçamentária!A:A,0),1))</f>
        <v>un</v>
      </c>
      <c r="E2886" s="14"/>
      <c r="F2886" s="15" t="str">
        <f>F2888</f>
        <v>Senado Federal</v>
      </c>
      <c r="G2886" s="31" t="s">
        <v>1079</v>
      </c>
      <c r="H2886" s="16"/>
      <c r="I2886" s="16" t="str">
        <f>IF(ISNUMBER(G2886),E2886*G2886,"")</f>
        <v/>
      </c>
      <c r="J2886" s="17"/>
      <c r="K2886" s="18"/>
      <c r="L2886" s="174">
        <v>0</v>
      </c>
    </row>
    <row r="2887" spans="1:12" ht="15.75" hidden="1" thickBot="1" x14ac:dyDescent="0.3">
      <c r="A2887" s="181"/>
      <c r="B2887" s="179"/>
      <c r="C2887" s="20"/>
      <c r="D2887" s="20"/>
      <c r="E2887" s="21"/>
      <c r="F2887" s="43"/>
      <c r="G2887" s="32" t="s">
        <v>1079</v>
      </c>
      <c r="H2887" s="20"/>
      <c r="I2887" s="23" t="str">
        <f>IF(ISNUMBER(G2887),E2887*G2887,"")</f>
        <v/>
      </c>
      <c r="J2887" s="24"/>
      <c r="K2887" s="19"/>
      <c r="L2887" s="174">
        <v>0</v>
      </c>
    </row>
    <row r="2888" spans="1:12" ht="15.75" hidden="1" thickBot="1" x14ac:dyDescent="0.3">
      <c r="A2888" s="181"/>
      <c r="B2888" s="179"/>
      <c r="C2888" s="25" t="s">
        <v>134</v>
      </c>
      <c r="D2888" s="25" t="s">
        <v>21</v>
      </c>
      <c r="E2888" s="26">
        <v>0.15</v>
      </c>
      <c r="F2888" s="27" t="s">
        <v>17</v>
      </c>
      <c r="G2888" s="23">
        <v>17.850499999999997</v>
      </c>
      <c r="H2888" s="27" t="s">
        <v>135</v>
      </c>
      <c r="I2888" s="23">
        <f>IF(ISNUMBER(G2888),E2888*G2888,"")</f>
        <v>2.6775749999999996</v>
      </c>
      <c r="J2888" s="28">
        <f>SUM(I2888:I2889)</f>
        <v>2.6775749999999996</v>
      </c>
      <c r="K2888" s="29"/>
      <c r="L2888" s="174">
        <v>0</v>
      </c>
    </row>
    <row r="2889" spans="1:12" ht="15.75" hidden="1" thickBot="1" x14ac:dyDescent="0.3">
      <c r="A2889" s="181"/>
      <c r="B2889" s="179"/>
      <c r="C2889" s="25" t="s">
        <v>1653</v>
      </c>
      <c r="D2889" s="25" t="s">
        <v>32</v>
      </c>
      <c r="E2889" s="26">
        <v>1</v>
      </c>
      <c r="F2889" s="27" t="s">
        <v>17</v>
      </c>
      <c r="G2889" s="19" t="s">
        <v>1079</v>
      </c>
      <c r="H2889" s="27" t="s">
        <v>33</v>
      </c>
      <c r="I2889" s="23" t="str">
        <f>IF(ISNUMBER(G2889),E2889*G2889,"")</f>
        <v/>
      </c>
      <c r="J2889" s="24"/>
      <c r="K2889" s="19"/>
      <c r="L2889" s="174">
        <v>0</v>
      </c>
    </row>
    <row r="2890" spans="1:12" ht="15.75" hidden="1" thickBot="1" x14ac:dyDescent="0.3">
      <c r="A2890" s="182"/>
      <c r="B2890" s="183"/>
      <c r="C2890" s="25"/>
      <c r="D2890" s="25"/>
      <c r="E2890" s="26"/>
      <c r="F2890" s="27"/>
      <c r="G2890" s="19" t="s">
        <v>1079</v>
      </c>
      <c r="H2890" s="27"/>
      <c r="I2890" s="23" t="str">
        <f>IF(ISNUMBER(G2890),E2890*G2890,"")</f>
        <v/>
      </c>
      <c r="J2890" s="24"/>
      <c r="K2890" s="19"/>
      <c r="L2890" s="174">
        <v>0</v>
      </c>
    </row>
    <row r="2891" spans="1:12" ht="15.75" hidden="1" thickBot="1" x14ac:dyDescent="0.3">
      <c r="A2891" s="180" t="s">
        <v>1654</v>
      </c>
      <c r="B2891" s="178" t="str">
        <f>INDEX(Orçamentária!A:B,MATCH(Composições!A2891,Orçamentária!A:A,0),2)</f>
        <v>Puxador H tubular em aço inox, comprimento 45cm, para portas de vidro temperado</v>
      </c>
      <c r="C2891" s="30"/>
      <c r="D2891" s="13" t="str">
        <f>TRIM(INDEX(Orçamentária!C:C,MATCH(Composições!A2891,Orçamentária!A:A,0),1))</f>
        <v>un</v>
      </c>
      <c r="E2891" s="14"/>
      <c r="F2891" s="15" t="str">
        <f>F2893</f>
        <v>Senado Federal</v>
      </c>
      <c r="G2891" s="31" t="s">
        <v>1079</v>
      </c>
      <c r="H2891" s="16"/>
      <c r="I2891" s="16" t="str">
        <f>IF(ISNUMBER(G2891),E2891*G2891,"")</f>
        <v/>
      </c>
      <c r="J2891" s="17"/>
      <c r="K2891" s="18"/>
      <c r="L2891" s="174">
        <v>0</v>
      </c>
    </row>
    <row r="2892" spans="1:12" ht="15.75" hidden="1" thickBot="1" x14ac:dyDescent="0.3">
      <c r="A2892" s="181"/>
      <c r="B2892" s="179"/>
      <c r="C2892" s="20"/>
      <c r="D2892" s="20"/>
      <c r="E2892" s="21"/>
      <c r="F2892" s="43"/>
      <c r="G2892" s="32" t="s">
        <v>1079</v>
      </c>
      <c r="H2892" s="20"/>
      <c r="I2892" s="23" t="str">
        <f>IF(ISNUMBER(G2892),E2892*G2892,"")</f>
        <v/>
      </c>
      <c r="J2892" s="24"/>
      <c r="K2892" s="19"/>
      <c r="L2892" s="174">
        <v>0</v>
      </c>
    </row>
    <row r="2893" spans="1:12" ht="15.75" hidden="1" thickBot="1" x14ac:dyDescent="0.3">
      <c r="A2893" s="181"/>
      <c r="B2893" s="179"/>
      <c r="C2893" s="25" t="s">
        <v>134</v>
      </c>
      <c r="D2893" s="25" t="s">
        <v>21</v>
      </c>
      <c r="E2893" s="26">
        <v>0.4</v>
      </c>
      <c r="F2893" s="27" t="s">
        <v>17</v>
      </c>
      <c r="G2893" s="23">
        <v>17.850499999999997</v>
      </c>
      <c r="H2893" s="27" t="s">
        <v>135</v>
      </c>
      <c r="I2893" s="23">
        <f>IF(ISNUMBER(G2893),E2893*G2893,"")</f>
        <v>7.1401999999999992</v>
      </c>
      <c r="J2893" s="28">
        <f>SUM(I2893:I2894)</f>
        <v>7.1401999999999992</v>
      </c>
      <c r="K2893" s="29"/>
      <c r="L2893" s="174">
        <v>0</v>
      </c>
    </row>
    <row r="2894" spans="1:12" ht="39" hidden="1" thickBot="1" x14ac:dyDescent="0.3">
      <c r="A2894" s="181"/>
      <c r="B2894" s="179"/>
      <c r="C2894" s="25" t="s">
        <v>1655</v>
      </c>
      <c r="D2894" s="25" t="s">
        <v>32</v>
      </c>
      <c r="E2894" s="26">
        <v>1</v>
      </c>
      <c r="F2894" s="27" t="s">
        <v>17</v>
      </c>
      <c r="G2894" s="19" t="s">
        <v>1079</v>
      </c>
      <c r="H2894" s="27" t="s">
        <v>33</v>
      </c>
      <c r="I2894" s="23" t="str">
        <f>IF(ISNUMBER(G2894),E2894*G2894,"")</f>
        <v/>
      </c>
      <c r="J2894" s="24"/>
      <c r="K2894" s="19"/>
      <c r="L2894" s="174">
        <v>0</v>
      </c>
    </row>
    <row r="2895" spans="1:12" ht="15.75" hidden="1" thickBot="1" x14ac:dyDescent="0.3">
      <c r="A2895" s="182"/>
      <c r="B2895" s="183"/>
      <c r="C2895" s="25"/>
      <c r="D2895" s="25"/>
      <c r="E2895" s="26"/>
      <c r="F2895" s="27"/>
      <c r="G2895" s="19" t="s">
        <v>1079</v>
      </c>
      <c r="H2895" s="27"/>
      <c r="I2895" s="23" t="str">
        <f>IF(ISNUMBER(G2895),E2895*G2895,"")</f>
        <v/>
      </c>
      <c r="J2895" s="24"/>
      <c r="K2895" s="19"/>
      <c r="L2895" s="174">
        <v>0</v>
      </c>
    </row>
    <row r="2896" spans="1:12" ht="15.75" hidden="1" thickBot="1" x14ac:dyDescent="0.3">
      <c r="A2896" s="180" t="s">
        <v>1656</v>
      </c>
      <c r="B2896" s="178" t="str">
        <f>INDEX(Orçamentária!A:B,MATCH(Composições!A2896,Orçamentária!A:A,0),2)</f>
        <v>Transporte de vidros</v>
      </c>
      <c r="C2896" s="30"/>
      <c r="D2896" s="13" t="str">
        <f>TRIM(INDEX(Orçamentária!C:C,MATCH(Composições!A2896,Orçamentária!A:A,0),1))</f>
        <v>m2 x km</v>
      </c>
      <c r="E2896" s="14"/>
      <c r="F2896" s="15" t="s">
        <v>1657</v>
      </c>
      <c r="G2896" s="31" t="s">
        <v>1079</v>
      </c>
      <c r="H2896" s="16"/>
      <c r="I2896" s="16" t="str">
        <f>IF(ISNUMBER(G2896),E2896*G2896,"")</f>
        <v/>
      </c>
      <c r="J2896" s="17"/>
      <c r="K2896" s="18"/>
      <c r="L2896" s="174">
        <v>0</v>
      </c>
    </row>
    <row r="2897" spans="1:12" ht="15.75" hidden="1" thickBot="1" x14ac:dyDescent="0.3">
      <c r="A2897" s="186"/>
      <c r="B2897" s="179"/>
      <c r="C2897" s="20"/>
      <c r="D2897" s="20"/>
      <c r="E2897" s="21"/>
      <c r="F2897" s="43"/>
      <c r="G2897" s="32" t="s">
        <v>1079</v>
      </c>
      <c r="H2897" s="20"/>
      <c r="I2897" s="23" t="str">
        <f>IF(ISNUMBER(G2897),E2897*G2897,"")</f>
        <v/>
      </c>
      <c r="J2897" s="24"/>
      <c r="K2897" s="19"/>
      <c r="L2897" s="174">
        <v>0</v>
      </c>
    </row>
    <row r="2898" spans="1:12" ht="15.75" hidden="1" thickBot="1" x14ac:dyDescent="0.3">
      <c r="A2898" s="186"/>
      <c r="B2898" s="179"/>
      <c r="C2898" s="25" t="s">
        <v>38</v>
      </c>
      <c r="D2898" s="25" t="s">
        <v>21</v>
      </c>
      <c r="E2898" s="26">
        <v>2.9209999999999998</v>
      </c>
      <c r="F2898" s="27" t="s">
        <v>1657</v>
      </c>
      <c r="G2898" s="23">
        <v>14.325999999999999</v>
      </c>
      <c r="H2898" s="27" t="s">
        <v>39</v>
      </c>
      <c r="I2898" s="23">
        <f>IF(ISNUMBER(G2898),E2898*G2898,"")</f>
        <v>41.846245999999994</v>
      </c>
      <c r="J2898" s="28">
        <f>SUM(I2898:I2898)</f>
        <v>41.846245999999994</v>
      </c>
      <c r="K2898" s="29"/>
      <c r="L2898" s="174">
        <v>0</v>
      </c>
    </row>
    <row r="2899" spans="1:12" ht="15.75" hidden="1" thickBot="1" x14ac:dyDescent="0.3">
      <c r="A2899" s="186"/>
      <c r="B2899" s="179"/>
      <c r="C2899" s="25"/>
      <c r="D2899" s="25"/>
      <c r="E2899" s="26"/>
      <c r="F2899" s="27"/>
      <c r="G2899" s="19" t="s">
        <v>1079</v>
      </c>
      <c r="H2899" s="27"/>
      <c r="I2899" s="23" t="str">
        <f>IF(ISNUMBER(G2899),E2899*G2899,"")</f>
        <v/>
      </c>
      <c r="J2899" s="24"/>
      <c r="K2899" s="19"/>
      <c r="L2899" s="174">
        <v>0</v>
      </c>
    </row>
    <row r="2900" spans="1:12" ht="15.75" hidden="1" thickBot="1" x14ac:dyDescent="0.3">
      <c r="A2900" s="186"/>
      <c r="B2900" s="179"/>
      <c r="C2900" s="44" t="s">
        <v>1620</v>
      </c>
      <c r="D2900" s="25"/>
      <c r="E2900" s="26"/>
      <c r="F2900" s="27"/>
      <c r="G2900" s="19" t="s">
        <v>1079</v>
      </c>
      <c r="H2900" s="27"/>
      <c r="I2900" s="23" t="str">
        <f>IF(ISNUMBER(G2900),E2900*G2900,"")</f>
        <v/>
      </c>
      <c r="J2900" s="24"/>
      <c r="K2900" s="19"/>
      <c r="L2900" s="174">
        <v>0</v>
      </c>
    </row>
    <row r="2901" spans="1:12" ht="15.75" hidden="1" thickBot="1" x14ac:dyDescent="0.3">
      <c r="A2901" s="187"/>
      <c r="B2901" s="183"/>
      <c r="C2901" s="25"/>
      <c r="D2901" s="25"/>
      <c r="E2901" s="26"/>
      <c r="F2901" s="27"/>
      <c r="G2901" s="19" t="s">
        <v>1079</v>
      </c>
      <c r="H2901" s="27"/>
      <c r="I2901" s="23" t="str">
        <f>IF(ISNUMBER(G2901),E2901*G2901,"")</f>
        <v/>
      </c>
      <c r="J2901" s="24"/>
      <c r="K2901" s="19"/>
      <c r="L2901" s="174">
        <v>0</v>
      </c>
    </row>
    <row r="2902" spans="1:12" ht="15.75" hidden="1" thickBot="1" x14ac:dyDescent="0.3">
      <c r="A2902" s="180" t="s">
        <v>1658</v>
      </c>
      <c r="B2902" s="178" t="str">
        <f>INDEX(Orçamentária!A:B,MATCH(Composições!A2902,Orçamentária!A:A,0),2)</f>
        <v>Vidro fantasia 4mm (canelado, martelado, pontilhado e mini-boreal)</v>
      </c>
      <c r="C2902" s="30"/>
      <c r="D2902" s="13" t="str">
        <f>TRIM(INDEX(Orçamentária!C:C,MATCH(Composições!A2902,Orçamentária!A:A,0),1))</f>
        <v>m2</v>
      </c>
      <c r="E2902" s="14"/>
      <c r="F2902" s="15" t="str">
        <f>F2904</f>
        <v>Sinapi 72122</v>
      </c>
      <c r="G2902" s="31" t="s">
        <v>1079</v>
      </c>
      <c r="H2902" s="16"/>
      <c r="I2902" s="16" t="str">
        <f>IF(ISNUMBER(G2902),E2902*G2902,"")</f>
        <v/>
      </c>
      <c r="J2902" s="17"/>
      <c r="K2902" s="18"/>
      <c r="L2902" s="174">
        <v>0</v>
      </c>
    </row>
    <row r="2903" spans="1:12" ht="15.75" hidden="1" thickBot="1" x14ac:dyDescent="0.3">
      <c r="A2903" s="181"/>
      <c r="B2903" s="179"/>
      <c r="C2903" s="20"/>
      <c r="D2903" s="20"/>
      <c r="E2903" s="21"/>
      <c r="F2903" s="43"/>
      <c r="G2903" s="32" t="s">
        <v>1079</v>
      </c>
      <c r="H2903" s="20"/>
      <c r="I2903" s="23" t="str">
        <f>IF(ISNUMBER(G2903),E2903*G2903,"")</f>
        <v/>
      </c>
      <c r="J2903" s="24"/>
      <c r="K2903" s="19"/>
      <c r="L2903" s="174">
        <v>0</v>
      </c>
    </row>
    <row r="2904" spans="1:12" ht="15.75" hidden="1" thickBot="1" x14ac:dyDescent="0.3">
      <c r="A2904" s="181"/>
      <c r="B2904" s="179"/>
      <c r="C2904" s="25" t="s">
        <v>134</v>
      </c>
      <c r="D2904" s="25" t="s">
        <v>21</v>
      </c>
      <c r="E2904" s="26">
        <v>0.45</v>
      </c>
      <c r="F2904" s="27" t="s">
        <v>1659</v>
      </c>
      <c r="G2904" s="23">
        <v>17.850499999999997</v>
      </c>
      <c r="H2904" s="27" t="s">
        <v>135</v>
      </c>
      <c r="I2904" s="23">
        <f>IF(ISNUMBER(G2904),E2904*G2904,"")</f>
        <v>8.0327249999999992</v>
      </c>
      <c r="J2904" s="28">
        <f>SUM(I2904:I2907)</f>
        <v>108.57692499999999</v>
      </c>
      <c r="K2904" s="29"/>
      <c r="L2904" s="174">
        <v>0</v>
      </c>
    </row>
    <row r="2905" spans="1:12" ht="15.75" hidden="1" thickBot="1" x14ac:dyDescent="0.3">
      <c r="A2905" s="181"/>
      <c r="B2905" s="179"/>
      <c r="C2905" s="25" t="s">
        <v>38</v>
      </c>
      <c r="D2905" s="25" t="s">
        <v>21</v>
      </c>
      <c r="E2905" s="26">
        <v>0.45</v>
      </c>
      <c r="F2905" s="27" t="s">
        <v>1659</v>
      </c>
      <c r="G2905" s="23">
        <v>14.325999999999999</v>
      </c>
      <c r="H2905" s="27" t="s">
        <v>39</v>
      </c>
      <c r="I2905" s="23">
        <f>IF(ISNUMBER(G2905),E2905*G2905,"")</f>
        <v>6.4466999999999999</v>
      </c>
      <c r="J2905" s="24"/>
      <c r="K2905" s="19"/>
      <c r="L2905" s="174">
        <v>0</v>
      </c>
    </row>
    <row r="2906" spans="1:12" ht="15.75" hidden="1" thickBot="1" x14ac:dyDescent="0.3">
      <c r="A2906" s="181"/>
      <c r="B2906" s="179"/>
      <c r="C2906" s="25" t="s">
        <v>608</v>
      </c>
      <c r="D2906" s="25" t="s">
        <v>1511</v>
      </c>
      <c r="E2906" s="26">
        <v>1.5</v>
      </c>
      <c r="F2906" s="27" t="s">
        <v>1659</v>
      </c>
      <c r="G2906" s="19">
        <v>6.4409999999999998</v>
      </c>
      <c r="H2906" s="27" t="s">
        <v>609</v>
      </c>
      <c r="I2906" s="23">
        <f>IF(ISNUMBER(G2906),E2906*G2906,"")</f>
        <v>9.6615000000000002</v>
      </c>
      <c r="J2906" s="24"/>
      <c r="K2906" s="19"/>
      <c r="L2906" s="174">
        <v>0</v>
      </c>
    </row>
    <row r="2907" spans="1:12" ht="15.75" hidden="1" thickBot="1" x14ac:dyDescent="0.3">
      <c r="A2907" s="181"/>
      <c r="B2907" s="179"/>
      <c r="C2907" s="25" t="s">
        <v>1660</v>
      </c>
      <c r="D2907" s="25" t="s">
        <v>189</v>
      </c>
      <c r="E2907" s="26">
        <v>1</v>
      </c>
      <c r="F2907" s="27" t="s">
        <v>1659</v>
      </c>
      <c r="G2907" s="19">
        <v>84.435999999999993</v>
      </c>
      <c r="H2907" s="27" t="s">
        <v>1661</v>
      </c>
      <c r="I2907" s="23">
        <f>IF(ISNUMBER(G2907),E2907*G2907,"")</f>
        <v>84.435999999999993</v>
      </c>
      <c r="J2907" s="24"/>
      <c r="K2907" s="19"/>
      <c r="L2907" s="174">
        <v>0</v>
      </c>
    </row>
    <row r="2908" spans="1:12" ht="15.75" hidden="1" thickBot="1" x14ac:dyDescent="0.3">
      <c r="A2908" s="182"/>
      <c r="B2908" s="183"/>
      <c r="C2908" s="25"/>
      <c r="D2908" s="25"/>
      <c r="E2908" s="26"/>
      <c r="F2908" s="27"/>
      <c r="G2908" s="19" t="s">
        <v>1079</v>
      </c>
      <c r="H2908" s="27"/>
      <c r="I2908" s="23" t="str">
        <f>IF(ISNUMBER(G2908),E2908*G2908,"")</f>
        <v/>
      </c>
      <c r="J2908" s="24"/>
      <c r="K2908" s="19"/>
      <c r="L2908" s="174">
        <v>0</v>
      </c>
    </row>
    <row r="2909" spans="1:12" ht="15.75" hidden="1" thickBot="1" x14ac:dyDescent="0.3">
      <c r="A2909" s="180" t="s">
        <v>1662</v>
      </c>
      <c r="B2909" s="178" t="str">
        <f>INDEX(Orçamentária!A:B,MATCH(Composições!A2909,Orçamentária!A:A,0),2)</f>
        <v>Vidro fumê/bronze 5mm</v>
      </c>
      <c r="C2909" s="30"/>
      <c r="D2909" s="13" t="str">
        <f>TRIM(INDEX(Orçamentária!C:C,MATCH(Composições!A2909,Orçamentária!A:A,0),1))</f>
        <v>m2</v>
      </c>
      <c r="E2909" s="14"/>
      <c r="F2909" s="15" t="s">
        <v>1663</v>
      </c>
      <c r="G2909" s="31" t="s">
        <v>1079</v>
      </c>
      <c r="H2909" s="16"/>
      <c r="I2909" s="16" t="str">
        <f>IF(ISNUMBER(G2909),E2909*G2909,"")</f>
        <v/>
      </c>
      <c r="J2909" s="17"/>
      <c r="K2909" s="18"/>
      <c r="L2909" s="174">
        <v>0</v>
      </c>
    </row>
    <row r="2910" spans="1:12" ht="15.75" hidden="1" thickBot="1" x14ac:dyDescent="0.3">
      <c r="A2910" s="181"/>
      <c r="B2910" s="179"/>
      <c r="C2910" s="20"/>
      <c r="D2910" s="20"/>
      <c r="E2910" s="21"/>
      <c r="F2910" s="43"/>
      <c r="G2910" s="32" t="s">
        <v>1079</v>
      </c>
      <c r="H2910" s="20"/>
      <c r="I2910" s="23" t="str">
        <f>IF(ISNUMBER(G2910),E2910*G2910,"")</f>
        <v/>
      </c>
      <c r="J2910" s="24"/>
      <c r="K2910" s="19"/>
      <c r="L2910" s="174">
        <v>0</v>
      </c>
    </row>
    <row r="2911" spans="1:12" ht="15.75" hidden="1" thickBot="1" x14ac:dyDescent="0.3">
      <c r="A2911" s="181"/>
      <c r="B2911" s="179"/>
      <c r="C2911" s="25" t="s">
        <v>134</v>
      </c>
      <c r="D2911" s="25" t="s">
        <v>21</v>
      </c>
      <c r="E2911" s="26">
        <v>1</v>
      </c>
      <c r="F2911" s="27" t="s">
        <v>1513</v>
      </c>
      <c r="G2911" s="23">
        <v>17.850499999999997</v>
      </c>
      <c r="H2911" s="27" t="s">
        <v>135</v>
      </c>
      <c r="I2911" s="23">
        <f>IF(ISNUMBER(G2911),E2911*G2911,"")</f>
        <v>17.850499999999997</v>
      </c>
      <c r="J2911" s="28">
        <f>SUM(I2911:I2914)</f>
        <v>179.4417</v>
      </c>
      <c r="K2911" s="29"/>
      <c r="L2911" s="174">
        <v>0</v>
      </c>
    </row>
    <row r="2912" spans="1:12" ht="15.75" hidden="1" thickBot="1" x14ac:dyDescent="0.3">
      <c r="A2912" s="181"/>
      <c r="B2912" s="179"/>
      <c r="C2912" s="25" t="s">
        <v>38</v>
      </c>
      <c r="D2912" s="25" t="s">
        <v>21</v>
      </c>
      <c r="E2912" s="26">
        <v>0.2</v>
      </c>
      <c r="F2912" s="27" t="s">
        <v>1513</v>
      </c>
      <c r="G2912" s="23">
        <v>14.325999999999999</v>
      </c>
      <c r="H2912" s="27" t="s">
        <v>39</v>
      </c>
      <c r="I2912" s="23">
        <f>IF(ISNUMBER(G2912),E2912*G2912,"")</f>
        <v>2.8651999999999997</v>
      </c>
      <c r="J2912" s="24"/>
      <c r="K2912" s="19"/>
      <c r="L2912" s="174">
        <v>0</v>
      </c>
    </row>
    <row r="2913" spans="1:12" ht="15.75" hidden="1" thickBot="1" x14ac:dyDescent="0.3">
      <c r="A2913" s="181"/>
      <c r="B2913" s="179"/>
      <c r="C2913" s="25" t="s">
        <v>608</v>
      </c>
      <c r="D2913" s="25" t="s">
        <v>1511</v>
      </c>
      <c r="E2913" s="26">
        <v>2</v>
      </c>
      <c r="F2913" s="27" t="s">
        <v>1513</v>
      </c>
      <c r="G2913" s="19">
        <v>6.4409999999999998</v>
      </c>
      <c r="H2913" s="27" t="s">
        <v>609</v>
      </c>
      <c r="I2913" s="23">
        <f>IF(ISNUMBER(G2913),E2913*G2913,"")</f>
        <v>12.882</v>
      </c>
      <c r="J2913" s="24"/>
      <c r="K2913" s="19"/>
      <c r="L2913" s="174">
        <v>0</v>
      </c>
    </row>
    <row r="2914" spans="1:12" ht="15.75" hidden="1" thickBot="1" x14ac:dyDescent="0.3">
      <c r="A2914" s="181"/>
      <c r="B2914" s="179"/>
      <c r="C2914" s="25" t="s">
        <v>1664</v>
      </c>
      <c r="D2914" s="25" t="s">
        <v>189</v>
      </c>
      <c r="E2914" s="26">
        <v>1</v>
      </c>
      <c r="F2914" s="27" t="s">
        <v>1513</v>
      </c>
      <c r="G2914" s="19">
        <v>145.84399999999999</v>
      </c>
      <c r="H2914" s="27" t="s">
        <v>1665</v>
      </c>
      <c r="I2914" s="23">
        <f>IF(ISNUMBER(G2914),E2914*G2914,"")</f>
        <v>145.84399999999999</v>
      </c>
      <c r="J2914" s="24"/>
      <c r="K2914" s="19"/>
      <c r="L2914" s="174">
        <v>0</v>
      </c>
    </row>
    <row r="2915" spans="1:12" ht="15.75" hidden="1" thickBot="1" x14ac:dyDescent="0.3">
      <c r="A2915" s="182"/>
      <c r="B2915" s="183"/>
      <c r="C2915" s="25"/>
      <c r="D2915" s="25"/>
      <c r="E2915" s="26"/>
      <c r="F2915" s="27"/>
      <c r="G2915" s="19" t="s">
        <v>1079</v>
      </c>
      <c r="H2915" s="27"/>
      <c r="I2915" s="23" t="str">
        <f>IF(ISNUMBER(G2915),E2915*G2915,"")</f>
        <v/>
      </c>
      <c r="J2915" s="24"/>
      <c r="K2915" s="19"/>
      <c r="L2915" s="174">
        <v>0</v>
      </c>
    </row>
    <row r="2916" spans="1:12" ht="15.75" hidden="1" thickBot="1" x14ac:dyDescent="0.3">
      <c r="A2916" s="180" t="s">
        <v>1666</v>
      </c>
      <c r="B2916" s="178" t="str">
        <f>INDEX(Orçamentária!A:B,MATCH(Composições!A2916,Orçamentária!A:A,0),2)</f>
        <v>Recuperação de massa em esquadria metálica</v>
      </c>
      <c r="C2916" s="30"/>
      <c r="D2916" s="13" t="str">
        <f>TRIM(INDEX(Orçamentária!C:C,MATCH(Composições!A2916,Orçamentária!A:A,0),1))</f>
        <v>m</v>
      </c>
      <c r="E2916" s="14"/>
      <c r="F2916" s="15" t="str">
        <f>F2918</f>
        <v>Sinapi 84959 Adaptada</v>
      </c>
      <c r="G2916" s="31" t="s">
        <v>1079</v>
      </c>
      <c r="H2916" s="16"/>
      <c r="I2916" s="16" t="str">
        <f>IF(ISNUMBER(G2916),E2916*G2916,"")</f>
        <v/>
      </c>
      <c r="J2916" s="17"/>
      <c r="K2916" s="18"/>
      <c r="L2916" s="174">
        <v>0</v>
      </c>
    </row>
    <row r="2917" spans="1:12" ht="15.75" hidden="1" thickBot="1" x14ac:dyDescent="0.3">
      <c r="A2917" s="181"/>
      <c r="B2917" s="179"/>
      <c r="C2917" s="20"/>
      <c r="D2917" s="20"/>
      <c r="E2917" s="21"/>
      <c r="F2917" s="43"/>
      <c r="G2917" s="32" t="s">
        <v>1079</v>
      </c>
      <c r="H2917" s="20"/>
      <c r="I2917" s="23" t="str">
        <f>IF(ISNUMBER(G2917),E2917*G2917,"")</f>
        <v/>
      </c>
      <c r="J2917" s="24"/>
      <c r="K2917" s="19"/>
      <c r="L2917" s="174">
        <v>0</v>
      </c>
    </row>
    <row r="2918" spans="1:12" ht="15.75" hidden="1" thickBot="1" x14ac:dyDescent="0.3">
      <c r="A2918" s="181"/>
      <c r="B2918" s="179"/>
      <c r="C2918" s="25" t="s">
        <v>134</v>
      </c>
      <c r="D2918" s="41" t="s">
        <v>21</v>
      </c>
      <c r="E2918" s="26">
        <f>ROUND(1/3,4)</f>
        <v>0.33329999999999999</v>
      </c>
      <c r="F2918" s="27" t="s">
        <v>1510</v>
      </c>
      <c r="G2918" s="23">
        <v>17.850499999999997</v>
      </c>
      <c r="H2918" s="27" t="s">
        <v>135</v>
      </c>
      <c r="I2918" s="23">
        <f>IF(ISNUMBER(G2918),E2918*G2918,"")</f>
        <v>5.9495716499999984</v>
      </c>
      <c r="J2918" s="28">
        <f>SUM(I2918:I2920)</f>
        <v>21.696771649999995</v>
      </c>
      <c r="K2918" s="29"/>
      <c r="L2918" s="174">
        <v>0</v>
      </c>
    </row>
    <row r="2919" spans="1:12" ht="15.75" hidden="1" thickBot="1" x14ac:dyDescent="0.3">
      <c r="A2919" s="181"/>
      <c r="B2919" s="179"/>
      <c r="C2919" s="25" t="s">
        <v>38</v>
      </c>
      <c r="D2919" s="25" t="s">
        <v>21</v>
      </c>
      <c r="E2919" s="26">
        <v>0.2</v>
      </c>
      <c r="F2919" s="27" t="s">
        <v>1510</v>
      </c>
      <c r="G2919" s="23">
        <v>14.325999999999999</v>
      </c>
      <c r="H2919" s="27" t="s">
        <v>39</v>
      </c>
      <c r="I2919" s="23">
        <f>IF(ISNUMBER(G2919),E2919*G2919,"")</f>
        <v>2.8651999999999997</v>
      </c>
      <c r="J2919" s="24"/>
      <c r="K2919" s="19"/>
      <c r="L2919" s="174">
        <v>0</v>
      </c>
    </row>
    <row r="2920" spans="1:12" ht="15.75" hidden="1" thickBot="1" x14ac:dyDescent="0.3">
      <c r="A2920" s="181"/>
      <c r="B2920" s="179"/>
      <c r="C2920" s="25" t="s">
        <v>608</v>
      </c>
      <c r="D2920" s="25" t="s">
        <v>1511</v>
      </c>
      <c r="E2920" s="26">
        <v>2</v>
      </c>
      <c r="F2920" s="27" t="s">
        <v>1510</v>
      </c>
      <c r="G2920" s="19">
        <v>6.4409999999999998</v>
      </c>
      <c r="H2920" s="27" t="s">
        <v>609</v>
      </c>
      <c r="I2920" s="23">
        <f>IF(ISNUMBER(G2920),E2920*G2920,"")</f>
        <v>12.882</v>
      </c>
      <c r="J2920" s="24"/>
      <c r="K2920" s="19"/>
      <c r="L2920" s="174">
        <v>0</v>
      </c>
    </row>
    <row r="2921" spans="1:12" ht="15.75" hidden="1" thickBot="1" x14ac:dyDescent="0.3">
      <c r="A2921" s="182"/>
      <c r="B2921" s="183"/>
      <c r="C2921" s="25"/>
      <c r="D2921" s="25"/>
      <c r="E2921" s="26"/>
      <c r="F2921" s="27"/>
      <c r="G2921" s="19" t="s">
        <v>1079</v>
      </c>
      <c r="H2921" s="27"/>
      <c r="I2921" s="23" t="str">
        <f>IF(ISNUMBER(G2921),E2921*G2921,"")</f>
        <v/>
      </c>
      <c r="J2921" s="24"/>
      <c r="K2921" s="19"/>
      <c r="L2921" s="174">
        <v>0</v>
      </c>
    </row>
    <row r="2922" spans="1:12" ht="15.75" hidden="1" thickBot="1" x14ac:dyDescent="0.3">
      <c r="A2922" s="180" t="s">
        <v>1667</v>
      </c>
      <c r="B2922" s="178" t="str">
        <f>INDEX(Orçamentária!A:B,MATCH(Composições!A2922,Orçamentária!A:A,0),2)</f>
        <v>Instalação de espelho reaproveitado</v>
      </c>
      <c r="C2922" s="30"/>
      <c r="D2922" s="13" t="str">
        <f>TRIM(INDEX(Orçamentária!C:C,MATCH(Composições!A2922,Orçamentária!A:A,0),1))</f>
        <v>m2</v>
      </c>
      <c r="E2922" s="14"/>
      <c r="F2922" s="15" t="str">
        <f>F2924</f>
        <v>Sinapi 85005 Adaptada</v>
      </c>
      <c r="G2922" s="31" t="s">
        <v>1079</v>
      </c>
      <c r="H2922" s="16"/>
      <c r="I2922" s="16" t="str">
        <f>IF(ISNUMBER(G2922),E2922*G2922,"")</f>
        <v/>
      </c>
      <c r="J2922" s="17"/>
      <c r="K2922" s="18"/>
      <c r="L2922" s="174">
        <v>0</v>
      </c>
    </row>
    <row r="2923" spans="1:12" ht="15.75" hidden="1" thickBot="1" x14ac:dyDescent="0.3">
      <c r="A2923" s="181"/>
      <c r="B2923" s="179"/>
      <c r="C2923" s="20"/>
      <c r="D2923" s="20"/>
      <c r="E2923" s="21"/>
      <c r="F2923" s="43"/>
      <c r="G2923" s="32" t="s">
        <v>1079</v>
      </c>
      <c r="H2923" s="20"/>
      <c r="I2923" s="23" t="str">
        <f>IF(ISNUMBER(G2923),E2923*G2923,"")</f>
        <v/>
      </c>
      <c r="J2923" s="24"/>
      <c r="K2923" s="19"/>
      <c r="L2923" s="174">
        <v>0</v>
      </c>
    </row>
    <row r="2924" spans="1:12" ht="15.75" hidden="1" thickBot="1" x14ac:dyDescent="0.3">
      <c r="A2924" s="181"/>
      <c r="B2924" s="179"/>
      <c r="C2924" s="25" t="s">
        <v>38</v>
      </c>
      <c r="D2924" s="25" t="s">
        <v>21</v>
      </c>
      <c r="E2924" s="26">
        <v>0.4</v>
      </c>
      <c r="F2924" s="27" t="s">
        <v>611</v>
      </c>
      <c r="G2924" s="23">
        <v>14.325999999999999</v>
      </c>
      <c r="H2924" s="27" t="s">
        <v>39</v>
      </c>
      <c r="I2924" s="23">
        <f>IF(ISNUMBER(G2924),E2924*G2924,"")</f>
        <v>5.7303999999999995</v>
      </c>
      <c r="J2924" s="28">
        <f>SUM(I2924:I2926)</f>
        <v>55.453399999999995</v>
      </c>
      <c r="K2924" s="29"/>
      <c r="L2924" s="174">
        <v>0</v>
      </c>
    </row>
    <row r="2925" spans="1:12" ht="15.75" hidden="1" thickBot="1" x14ac:dyDescent="0.3">
      <c r="A2925" s="181"/>
      <c r="B2925" s="179"/>
      <c r="C2925" s="25" t="s">
        <v>134</v>
      </c>
      <c r="D2925" s="25" t="s">
        <v>21</v>
      </c>
      <c r="E2925" s="26">
        <v>2</v>
      </c>
      <c r="F2925" s="27" t="s">
        <v>611</v>
      </c>
      <c r="G2925" s="23">
        <v>17.850499999999997</v>
      </c>
      <c r="H2925" s="27" t="s">
        <v>135</v>
      </c>
      <c r="I2925" s="23">
        <f>IF(ISNUMBER(G2925),E2925*G2925,"")</f>
        <v>35.700999999999993</v>
      </c>
      <c r="J2925" s="24"/>
      <c r="K2925" s="19"/>
      <c r="L2925" s="174">
        <v>0</v>
      </c>
    </row>
    <row r="2926" spans="1:12" ht="26.25" hidden="1" thickBot="1" x14ac:dyDescent="0.3">
      <c r="A2926" s="181"/>
      <c r="B2926" s="179"/>
      <c r="C2926" s="25" t="s">
        <v>1668</v>
      </c>
      <c r="D2926" s="25" t="s">
        <v>588</v>
      </c>
      <c r="E2926" s="26">
        <v>4</v>
      </c>
      <c r="F2926" s="27" t="s">
        <v>611</v>
      </c>
      <c r="G2926" s="19">
        <v>3.5054999999999996</v>
      </c>
      <c r="H2926" s="27" t="s">
        <v>614</v>
      </c>
      <c r="I2926" s="23">
        <f>IF(ISNUMBER(G2926),E2926*G2926,"")</f>
        <v>14.021999999999998</v>
      </c>
      <c r="J2926" s="24"/>
      <c r="K2926" s="19"/>
      <c r="L2926" s="174">
        <v>0</v>
      </c>
    </row>
    <row r="2927" spans="1:12" ht="15.75" hidden="1" thickBot="1" x14ac:dyDescent="0.3">
      <c r="A2927" s="182"/>
      <c r="B2927" s="183"/>
      <c r="C2927" s="25"/>
      <c r="D2927" s="25"/>
      <c r="E2927" s="26"/>
      <c r="F2927" s="27"/>
      <c r="G2927" s="19" t="s">
        <v>1079</v>
      </c>
      <c r="H2927" s="27"/>
      <c r="I2927" s="23" t="str">
        <f>IF(ISNUMBER(G2927),E2927*G2927,"")</f>
        <v/>
      </c>
      <c r="J2927" s="24"/>
      <c r="K2927" s="19"/>
      <c r="L2927" s="174">
        <v>0</v>
      </c>
    </row>
    <row r="2928" spans="1:12" ht="15.75" hidden="1" thickBot="1" x14ac:dyDescent="0.3">
      <c r="A2928" s="180" t="s">
        <v>1669</v>
      </c>
      <c r="B2928" s="178" t="str">
        <f>INDEX(Orçamentária!A:B,MATCH(Composições!A2928,Orçamentária!A:A,0),2)</f>
        <v>Espelho fumê/bronze 4mm lapidado</v>
      </c>
      <c r="C2928" s="30"/>
      <c r="D2928" s="13" t="str">
        <f>TRIM(INDEX(Orçamentária!C:C,MATCH(Composições!A2928,Orçamentária!A:A,0),1))</f>
        <v>m2</v>
      </c>
      <c r="E2928" s="14"/>
      <c r="F2928" s="15" t="s">
        <v>611</v>
      </c>
      <c r="G2928" s="31" t="s">
        <v>1079</v>
      </c>
      <c r="H2928" s="16"/>
      <c r="I2928" s="16" t="str">
        <f>IF(ISNUMBER(G2928),E2928*G2928,"")</f>
        <v/>
      </c>
      <c r="J2928" s="17"/>
      <c r="K2928" s="18"/>
      <c r="L2928" s="174">
        <v>0</v>
      </c>
    </row>
    <row r="2929" spans="1:12" ht="15.75" hidden="1" thickBot="1" x14ac:dyDescent="0.3">
      <c r="A2929" s="181"/>
      <c r="B2929" s="179"/>
      <c r="C2929" s="20"/>
      <c r="D2929" s="20"/>
      <c r="E2929" s="21"/>
      <c r="F2929" s="43"/>
      <c r="G2929" s="32" t="s">
        <v>1079</v>
      </c>
      <c r="H2929" s="20"/>
      <c r="I2929" s="23" t="str">
        <f>IF(ISNUMBER(G2929),E2929*G2929,"")</f>
        <v/>
      </c>
      <c r="J2929" s="24"/>
      <c r="K2929" s="19"/>
      <c r="L2929" s="174">
        <v>0</v>
      </c>
    </row>
    <row r="2930" spans="1:12" ht="26.25" hidden="1" thickBot="1" x14ac:dyDescent="0.3">
      <c r="A2930" s="181"/>
      <c r="B2930" s="179"/>
      <c r="C2930" s="25" t="s">
        <v>1668</v>
      </c>
      <c r="D2930" s="36" t="s">
        <v>32</v>
      </c>
      <c r="E2930" s="26">
        <v>4</v>
      </c>
      <c r="F2930" s="27" t="s">
        <v>613</v>
      </c>
      <c r="G2930" s="23">
        <v>3.5054999999999996</v>
      </c>
      <c r="H2930" s="27" t="s">
        <v>614</v>
      </c>
      <c r="I2930" s="23">
        <f>IF(ISNUMBER(G2930),E2930*G2930,"")</f>
        <v>14.021999999999998</v>
      </c>
      <c r="J2930" s="28">
        <f>SUM(I2930:I2933)</f>
        <v>55.453399999999988</v>
      </c>
      <c r="K2930" s="29"/>
      <c r="L2930" s="174">
        <v>0</v>
      </c>
    </row>
    <row r="2931" spans="1:12" ht="15.75" hidden="1" thickBot="1" x14ac:dyDescent="0.3">
      <c r="A2931" s="181"/>
      <c r="B2931" s="179"/>
      <c r="C2931" s="25" t="s">
        <v>1670</v>
      </c>
      <c r="D2931" s="36" t="s">
        <v>189</v>
      </c>
      <c r="E2931" s="26">
        <v>1</v>
      </c>
      <c r="F2931" s="27" t="s">
        <v>613</v>
      </c>
      <c r="G2931" s="23" t="s">
        <v>1079</v>
      </c>
      <c r="H2931" s="27" t="s">
        <v>33</v>
      </c>
      <c r="I2931" s="23" t="str">
        <f>IF(ISNUMBER(G2931),E2931*G2931,"")</f>
        <v/>
      </c>
      <c r="J2931" s="24"/>
      <c r="K2931" s="19"/>
      <c r="L2931" s="174">
        <v>0</v>
      </c>
    </row>
    <row r="2932" spans="1:12" ht="15.75" hidden="1" thickBot="1" x14ac:dyDescent="0.3">
      <c r="A2932" s="181"/>
      <c r="B2932" s="179"/>
      <c r="C2932" s="25" t="s">
        <v>38</v>
      </c>
      <c r="D2932" s="36" t="s">
        <v>21</v>
      </c>
      <c r="E2932" s="26">
        <v>0.4</v>
      </c>
      <c r="F2932" s="27" t="s">
        <v>613</v>
      </c>
      <c r="G2932" s="19">
        <v>14.325999999999999</v>
      </c>
      <c r="H2932" s="27" t="s">
        <v>39</v>
      </c>
      <c r="I2932" s="23">
        <f>IF(ISNUMBER(G2932),E2932*G2932,"")</f>
        <v>5.7303999999999995</v>
      </c>
      <c r="J2932" s="24"/>
      <c r="K2932" s="19"/>
      <c r="L2932" s="174">
        <v>0</v>
      </c>
    </row>
    <row r="2933" spans="1:12" ht="15.75" hidden="1" thickBot="1" x14ac:dyDescent="0.3">
      <c r="A2933" s="181"/>
      <c r="B2933" s="179"/>
      <c r="C2933" s="25" t="s">
        <v>134</v>
      </c>
      <c r="D2933" s="36" t="s">
        <v>21</v>
      </c>
      <c r="E2933" s="26">
        <v>2</v>
      </c>
      <c r="F2933" s="27" t="s">
        <v>613</v>
      </c>
      <c r="G2933" s="19">
        <v>17.850499999999997</v>
      </c>
      <c r="H2933" s="27" t="s">
        <v>135</v>
      </c>
      <c r="I2933" s="23">
        <f>IF(ISNUMBER(G2933),E2933*G2933,"")</f>
        <v>35.700999999999993</v>
      </c>
      <c r="J2933" s="24"/>
      <c r="K2933" s="19"/>
      <c r="L2933" s="174">
        <v>0</v>
      </c>
    </row>
    <row r="2934" spans="1:12" ht="15.75" hidden="1" thickBot="1" x14ac:dyDescent="0.3">
      <c r="A2934" s="182"/>
      <c r="B2934" s="183"/>
      <c r="C2934" s="25"/>
      <c r="D2934" s="25"/>
      <c r="E2934" s="26"/>
      <c r="F2934" s="27"/>
      <c r="G2934" s="19" t="s">
        <v>1079</v>
      </c>
      <c r="H2934" s="27"/>
      <c r="I2934" s="23" t="str">
        <f>IF(ISNUMBER(G2934),E2934*G2934,"")</f>
        <v/>
      </c>
      <c r="J2934" s="24"/>
      <c r="K2934" s="19"/>
      <c r="L2934" s="174">
        <v>0</v>
      </c>
    </row>
    <row r="2935" spans="1:12" ht="15.75" hidden="1" thickBot="1" x14ac:dyDescent="0.3">
      <c r="A2935" s="180" t="s">
        <v>1671</v>
      </c>
      <c r="B2935" s="178" t="str">
        <f>INDEX(Orçamentária!A:B,MATCH(Composições!A2935,Orçamentária!A:A,0),2)</f>
        <v>Finesson (parafuso de fixação francês)</v>
      </c>
      <c r="C2935" s="30"/>
      <c r="D2935" s="13" t="str">
        <f>TRIM(INDEX(Orçamentária!C:C,MATCH(Composições!A2935,Orçamentária!A:A,0),1))</f>
        <v>un</v>
      </c>
      <c r="E2935" s="14"/>
      <c r="F2935" s="15" t="str">
        <f>F2937</f>
        <v>Senado Federal</v>
      </c>
      <c r="G2935" s="31" t="s">
        <v>1079</v>
      </c>
      <c r="H2935" s="16"/>
      <c r="I2935" s="16" t="str">
        <f>IF(ISNUMBER(G2935),E2935*G2935,"")</f>
        <v/>
      </c>
      <c r="J2935" s="17"/>
      <c r="K2935" s="18"/>
      <c r="L2935" s="174">
        <v>0</v>
      </c>
    </row>
    <row r="2936" spans="1:12" ht="15.75" hidden="1" thickBot="1" x14ac:dyDescent="0.3">
      <c r="A2936" s="181"/>
      <c r="B2936" s="179"/>
      <c r="C2936" s="20"/>
      <c r="D2936" s="20"/>
      <c r="E2936" s="21"/>
      <c r="F2936" s="43"/>
      <c r="G2936" s="32" t="s">
        <v>1079</v>
      </c>
      <c r="H2936" s="20"/>
      <c r="I2936" s="23" t="str">
        <f>IF(ISNUMBER(G2936),E2936*G2936,"")</f>
        <v/>
      </c>
      <c r="J2936" s="24"/>
      <c r="K2936" s="19"/>
      <c r="L2936" s="174">
        <v>0</v>
      </c>
    </row>
    <row r="2937" spans="1:12" ht="15.75" hidden="1" thickBot="1" x14ac:dyDescent="0.3">
      <c r="A2937" s="181"/>
      <c r="B2937" s="179"/>
      <c r="C2937" s="25" t="s">
        <v>134</v>
      </c>
      <c r="D2937" s="25" t="s">
        <v>21</v>
      </c>
      <c r="E2937" s="26">
        <v>0.1</v>
      </c>
      <c r="F2937" s="27" t="s">
        <v>17</v>
      </c>
      <c r="G2937" s="23">
        <v>17.850499999999997</v>
      </c>
      <c r="H2937" s="27" t="s">
        <v>135</v>
      </c>
      <c r="I2937" s="23">
        <f>IF(ISNUMBER(G2937),E2937*G2937,"")</f>
        <v>1.7850499999999998</v>
      </c>
      <c r="J2937" s="28">
        <f>SUM(I2937:I2938)</f>
        <v>5.2905499999999996</v>
      </c>
      <c r="K2937" s="29"/>
      <c r="L2937" s="174">
        <v>0</v>
      </c>
    </row>
    <row r="2938" spans="1:12" ht="26.25" hidden="1" thickBot="1" x14ac:dyDescent="0.3">
      <c r="A2938" s="181"/>
      <c r="B2938" s="179"/>
      <c r="C2938" s="25" t="s">
        <v>1668</v>
      </c>
      <c r="D2938" s="25" t="s">
        <v>32</v>
      </c>
      <c r="E2938" s="26">
        <v>1</v>
      </c>
      <c r="F2938" s="27" t="s">
        <v>17</v>
      </c>
      <c r="G2938" s="19">
        <v>3.5054999999999996</v>
      </c>
      <c r="H2938" s="27" t="s">
        <v>614</v>
      </c>
      <c r="I2938" s="23">
        <f>IF(ISNUMBER(G2938),E2938*G2938,"")</f>
        <v>3.5054999999999996</v>
      </c>
      <c r="J2938" s="24"/>
      <c r="K2938" s="19"/>
      <c r="L2938" s="174">
        <v>0</v>
      </c>
    </row>
    <row r="2939" spans="1:12" ht="15.75" hidden="1" thickBot="1" x14ac:dyDescent="0.3">
      <c r="A2939" s="182"/>
      <c r="B2939" s="183"/>
      <c r="C2939" s="25"/>
      <c r="D2939" s="25"/>
      <c r="E2939" s="26"/>
      <c r="F2939" s="27"/>
      <c r="G2939" s="19" t="s">
        <v>1079</v>
      </c>
      <c r="H2939" s="27"/>
      <c r="I2939" s="23" t="str">
        <f>IF(ISNUMBER(G2939),E2939*G2939,"")</f>
        <v/>
      </c>
      <c r="J2939" s="24"/>
      <c r="K2939" s="19"/>
      <c r="L2939" s="174">
        <v>0</v>
      </c>
    </row>
    <row r="2940" spans="1:12" ht="15.75" hidden="1" thickBot="1" x14ac:dyDescent="0.3">
      <c r="A2940" s="180" t="s">
        <v>1672</v>
      </c>
      <c r="B2940" s="178" t="str">
        <f>INDEX(Orçamentária!A:B,MATCH(Composições!A2940,Orçamentária!A:A,0),2)</f>
        <v>Graute industrializado, fck ≥ 25MPa</v>
      </c>
      <c r="C2940" s="30"/>
      <c r="D2940" s="13" t="str">
        <f>TRIM(INDEX(Orçamentária!C:C,MATCH(Composições!A2940,Orçamentária!A:A,0),1))</f>
        <v>m3</v>
      </c>
      <c r="E2940" s="14"/>
      <c r="F2940" s="15" t="s">
        <v>1673</v>
      </c>
      <c r="G2940" s="31" t="s">
        <v>1079</v>
      </c>
      <c r="H2940" s="16"/>
      <c r="I2940" s="16" t="str">
        <f>IF(ISNUMBER(G2940),E2940*G2940,"")</f>
        <v/>
      </c>
      <c r="J2940" s="17"/>
      <c r="K2940" s="18"/>
      <c r="L2940" s="174">
        <v>0</v>
      </c>
    </row>
    <row r="2941" spans="1:12" ht="15.75" hidden="1" thickBot="1" x14ac:dyDescent="0.3">
      <c r="A2941" s="181"/>
      <c r="B2941" s="179"/>
      <c r="C2941" s="20"/>
      <c r="D2941" s="20"/>
      <c r="E2941" s="21"/>
      <c r="F2941" s="22"/>
      <c r="G2941" s="32" t="s">
        <v>1079</v>
      </c>
      <c r="H2941" s="20"/>
      <c r="I2941" s="23" t="str">
        <f>IF(ISNUMBER(G2941),E2941*G2941,"")</f>
        <v/>
      </c>
      <c r="J2941" s="24"/>
      <c r="K2941" s="19"/>
      <c r="L2941" s="174">
        <v>0</v>
      </c>
    </row>
    <row r="2942" spans="1:12" ht="15.75" hidden="1" thickBot="1" x14ac:dyDescent="0.3">
      <c r="A2942" s="181"/>
      <c r="B2942" s="179"/>
      <c r="C2942" s="25" t="s">
        <v>1389</v>
      </c>
      <c r="D2942" s="36" t="s">
        <v>1366</v>
      </c>
      <c r="E2942" s="26">
        <v>4.7313999999999998</v>
      </c>
      <c r="F2942" s="27" t="s">
        <v>1674</v>
      </c>
      <c r="G2942" s="19">
        <v>19.142499999999998</v>
      </c>
      <c r="H2942" s="27" t="s">
        <v>37</v>
      </c>
      <c r="I2942" s="23">
        <f>IF(ISNUMBER(G2942),E2942*G2942,"")</f>
        <v>90.570824499999986</v>
      </c>
      <c r="J2942" s="28">
        <f>SUM(I2942:I2944)</f>
        <v>2133.5142160999999</v>
      </c>
      <c r="K2942" s="29"/>
      <c r="L2942" s="174">
        <v>0</v>
      </c>
    </row>
    <row r="2943" spans="1:12" ht="15.75" hidden="1" thickBot="1" x14ac:dyDescent="0.3">
      <c r="A2943" s="181"/>
      <c r="B2943" s="179"/>
      <c r="C2943" s="25" t="s">
        <v>1367</v>
      </c>
      <c r="D2943" s="36" t="s">
        <v>1366</v>
      </c>
      <c r="E2943" s="26">
        <v>3.3466</v>
      </c>
      <c r="F2943" s="27" t="s">
        <v>1674</v>
      </c>
      <c r="G2943" s="19">
        <v>14.325999999999999</v>
      </c>
      <c r="H2943" s="27" t="s">
        <v>39</v>
      </c>
      <c r="I2943" s="23">
        <f>IF(ISNUMBER(G2943),E2943*G2943,"")</f>
        <v>47.943391599999998</v>
      </c>
      <c r="J2943" s="24"/>
      <c r="K2943" s="19"/>
      <c r="L2943" s="174">
        <v>0</v>
      </c>
    </row>
    <row r="2944" spans="1:12" ht="15.75" hidden="1" thickBot="1" x14ac:dyDescent="0.3">
      <c r="A2944" s="181"/>
      <c r="B2944" s="179"/>
      <c r="C2944" s="25" t="s">
        <v>1675</v>
      </c>
      <c r="D2944" s="36" t="s">
        <v>1629</v>
      </c>
      <c r="E2944" s="26">
        <v>1875</v>
      </c>
      <c r="F2944" s="27" t="s">
        <v>1673</v>
      </c>
      <c r="G2944" s="19">
        <v>1.0640000000000001</v>
      </c>
      <c r="H2944" s="27" t="s">
        <v>1676</v>
      </c>
      <c r="I2944" s="23">
        <f>IF(ISNUMBER(G2944),E2944*G2944,"")</f>
        <v>1995</v>
      </c>
      <c r="J2944" s="24"/>
      <c r="K2944" s="19"/>
      <c r="L2944" s="174">
        <v>0</v>
      </c>
    </row>
    <row r="2945" spans="1:12" ht="15.75" hidden="1" thickBot="1" x14ac:dyDescent="0.3">
      <c r="A2945" s="182"/>
      <c r="B2945" s="183"/>
      <c r="C2945" s="25"/>
      <c r="D2945" s="25"/>
      <c r="E2945" s="26"/>
      <c r="F2945" s="27"/>
      <c r="G2945" s="19" t="s">
        <v>1079</v>
      </c>
      <c r="H2945" s="27"/>
      <c r="I2945" s="23" t="str">
        <f>IF(ISNUMBER(G2945),E2945*G2945,"")</f>
        <v/>
      </c>
      <c r="J2945" s="24"/>
      <c r="K2945" s="19"/>
      <c r="L2945" s="174">
        <v>0</v>
      </c>
    </row>
    <row r="2946" spans="1:12" ht="15.75" hidden="1" thickBot="1" x14ac:dyDescent="0.3">
      <c r="A2946" s="180" t="s">
        <v>1677</v>
      </c>
      <c r="B2946" s="178" t="str">
        <f>INDEX(Orçamentária!A:B,MATCH(Composições!A2946,Orçamentária!A:A,0),2)</f>
        <v>Armação de aço CA-50 bitolas de 10,0mm a 12,50mm</v>
      </c>
      <c r="C2946" s="30"/>
      <c r="D2946" s="13" t="str">
        <f>TRIM(INDEX(Orçamentária!C:C,MATCH(Composições!A2946,Orçamentária!A:A,0),1))</f>
        <v>kg</v>
      </c>
      <c r="E2946" s="14"/>
      <c r="F2946" s="15" t="s">
        <v>1678</v>
      </c>
      <c r="G2946" s="31" t="s">
        <v>1079</v>
      </c>
      <c r="H2946" s="16"/>
      <c r="I2946" s="16" t="str">
        <f>IF(ISNUMBER(G2946),E2946*G2946,"")</f>
        <v/>
      </c>
      <c r="J2946" s="17"/>
      <c r="K2946" s="18"/>
      <c r="L2946" s="174">
        <v>0</v>
      </c>
    </row>
    <row r="2947" spans="1:12" ht="15.75" hidden="1" thickBot="1" x14ac:dyDescent="0.3">
      <c r="A2947" s="181"/>
      <c r="B2947" s="179"/>
      <c r="C2947" s="20"/>
      <c r="D2947" s="20"/>
      <c r="E2947" s="21"/>
      <c r="F2947" s="22"/>
      <c r="G2947" s="32" t="s">
        <v>1079</v>
      </c>
      <c r="H2947" s="20"/>
      <c r="I2947" s="23" t="str">
        <f>IF(ISNUMBER(G2947),E2947*G2947,"")</f>
        <v/>
      </c>
      <c r="J2947" s="24"/>
      <c r="K2947" s="19"/>
      <c r="L2947" s="174">
        <v>0</v>
      </c>
    </row>
    <row r="2948" spans="1:12" ht="26.25" hidden="1" thickBot="1" x14ac:dyDescent="0.3">
      <c r="A2948" s="181"/>
      <c r="B2948" s="179"/>
      <c r="C2948" s="25" t="s">
        <v>1016</v>
      </c>
      <c r="D2948" s="36" t="s">
        <v>1629</v>
      </c>
      <c r="E2948" s="26">
        <v>2.5000000000000001E-2</v>
      </c>
      <c r="F2948" s="27" t="s">
        <v>1678</v>
      </c>
      <c r="G2948" s="19">
        <v>12.426</v>
      </c>
      <c r="H2948" s="27" t="s">
        <v>1017</v>
      </c>
      <c r="I2948" s="23">
        <f>IF(ISNUMBER(G2948),E2948*G2948,"")</f>
        <v>0.31065000000000004</v>
      </c>
      <c r="J2948" s="28">
        <f>SUM(I2948:I2952)</f>
        <v>7.0030637000000002</v>
      </c>
      <c r="K2948" s="29"/>
      <c r="L2948" s="174">
        <v>0</v>
      </c>
    </row>
    <row r="2949" spans="1:12" ht="39" hidden="1" thickBot="1" x14ac:dyDescent="0.3">
      <c r="A2949" s="181"/>
      <c r="B2949" s="179"/>
      <c r="C2949" s="25" t="s">
        <v>1630</v>
      </c>
      <c r="D2949" s="36" t="s">
        <v>588</v>
      </c>
      <c r="E2949" s="26">
        <v>0.36699999999999999</v>
      </c>
      <c r="F2949" s="27" t="s">
        <v>1678</v>
      </c>
      <c r="G2949" s="19">
        <v>0.1235</v>
      </c>
      <c r="H2949" s="27" t="s">
        <v>1631</v>
      </c>
      <c r="I2949" s="23">
        <f>IF(ISNUMBER(G2949),E2949*G2949,"")</f>
        <v>4.5324499999999997E-2</v>
      </c>
      <c r="J2949" s="24"/>
      <c r="K2949" s="19"/>
      <c r="L2949" s="174">
        <v>0</v>
      </c>
    </row>
    <row r="2950" spans="1:12" ht="15.75" hidden="1" thickBot="1" x14ac:dyDescent="0.3">
      <c r="A2950" s="181"/>
      <c r="B2950" s="179"/>
      <c r="C2950" s="25" t="s">
        <v>1632</v>
      </c>
      <c r="D2950" s="36" t="s">
        <v>1366</v>
      </c>
      <c r="E2950" s="26">
        <v>1.14E-2</v>
      </c>
      <c r="F2950" s="27" t="s">
        <v>1678</v>
      </c>
      <c r="G2950" s="19">
        <v>14.933999999999999</v>
      </c>
      <c r="H2950" s="27" t="s">
        <v>1633</v>
      </c>
      <c r="I2950" s="23">
        <f>IF(ISNUMBER(G2950),E2950*G2950,"")</f>
        <v>0.1702476</v>
      </c>
      <c r="J2950" s="24"/>
      <c r="K2950" s="19"/>
      <c r="L2950" s="174">
        <v>0</v>
      </c>
    </row>
    <row r="2951" spans="1:12" ht="15.75" hidden="1" thickBot="1" x14ac:dyDescent="0.3">
      <c r="A2951" s="181"/>
      <c r="B2951" s="179"/>
      <c r="C2951" s="25" t="s">
        <v>1634</v>
      </c>
      <c r="D2951" s="36" t="s">
        <v>1366</v>
      </c>
      <c r="E2951" s="26">
        <v>6.9800000000000001E-2</v>
      </c>
      <c r="F2951" s="27" t="s">
        <v>1678</v>
      </c>
      <c r="G2951" s="19">
        <v>19.056999999999999</v>
      </c>
      <c r="H2951" s="27" t="s">
        <v>1635</v>
      </c>
      <c r="I2951" s="23">
        <f>IF(ISNUMBER(G2951),E2951*G2951,"")</f>
        <v>1.3301786</v>
      </c>
      <c r="J2951" s="24"/>
      <c r="K2951" s="19"/>
      <c r="L2951" s="174">
        <v>0</v>
      </c>
    </row>
    <row r="2952" spans="1:12" ht="26.25" hidden="1" thickBot="1" x14ac:dyDescent="0.3">
      <c r="A2952" s="181"/>
      <c r="B2952" s="179"/>
      <c r="C2952" s="25" t="s">
        <v>1679</v>
      </c>
      <c r="D2952" s="36" t="s">
        <v>1629</v>
      </c>
      <c r="E2952" s="26">
        <v>1</v>
      </c>
      <c r="F2952" s="27" t="s">
        <v>1678</v>
      </c>
      <c r="G2952" s="19">
        <v>5.1466630000000002</v>
      </c>
      <c r="H2952" s="27" t="s">
        <v>1680</v>
      </c>
      <c r="I2952" s="23">
        <f>IF(ISNUMBER(G2952),E2952*G2952,"")</f>
        <v>5.1466630000000002</v>
      </c>
      <c r="J2952" s="24"/>
      <c r="K2952" s="19"/>
      <c r="L2952" s="174">
        <v>0</v>
      </c>
    </row>
    <row r="2953" spans="1:12" ht="15.75" hidden="1" thickBot="1" x14ac:dyDescent="0.3">
      <c r="A2953" s="182"/>
      <c r="B2953" s="183"/>
      <c r="C2953" s="25"/>
      <c r="D2953" s="25"/>
      <c r="E2953" s="26"/>
      <c r="F2953" s="27"/>
      <c r="G2953" s="19" t="s">
        <v>1079</v>
      </c>
      <c r="H2953" s="27"/>
      <c r="I2953" s="23" t="str">
        <f>IF(ISNUMBER(G2953),E2953*G2953,"")</f>
        <v/>
      </c>
      <c r="J2953" s="24"/>
      <c r="K2953" s="19"/>
      <c r="L2953" s="174">
        <v>0</v>
      </c>
    </row>
    <row r="2954" spans="1:12" ht="15.75" hidden="1" thickBot="1" x14ac:dyDescent="0.3">
      <c r="A2954" s="180" t="s">
        <v>1681</v>
      </c>
      <c r="B2954" s="178" t="str">
        <f>INDEX(Orçamentária!A:B,MATCH(Composições!A2954,Orçamentária!A:A,0),2)</f>
        <v>Armação de aço CA-50 bitolas de 16,0mm a 25,0mm</v>
      </c>
      <c r="C2954" s="30"/>
      <c r="D2954" s="13" t="str">
        <f>TRIM(INDEX(Orçamentária!C:C,MATCH(Composições!A2954,Orçamentária!A:A,0),1))</f>
        <v>kg</v>
      </c>
      <c r="E2954" s="14"/>
      <c r="F2954" s="15" t="s">
        <v>1682</v>
      </c>
      <c r="G2954" s="31" t="s">
        <v>1079</v>
      </c>
      <c r="H2954" s="16"/>
      <c r="I2954" s="16" t="str">
        <f>IF(ISNUMBER(G2954),E2954*G2954,"")</f>
        <v/>
      </c>
      <c r="J2954" s="17"/>
      <c r="K2954" s="18"/>
      <c r="L2954" s="174">
        <v>0</v>
      </c>
    </row>
    <row r="2955" spans="1:12" ht="15.75" hidden="1" thickBot="1" x14ac:dyDescent="0.3">
      <c r="A2955" s="181"/>
      <c r="B2955" s="179"/>
      <c r="C2955" s="20"/>
      <c r="D2955" s="20"/>
      <c r="E2955" s="21"/>
      <c r="F2955" s="22"/>
      <c r="G2955" s="32" t="s">
        <v>1079</v>
      </c>
      <c r="H2955" s="20"/>
      <c r="I2955" s="23" t="str">
        <f>IF(ISNUMBER(G2955),E2955*G2955,"")</f>
        <v/>
      </c>
      <c r="J2955" s="24"/>
      <c r="K2955" s="19"/>
      <c r="L2955" s="174">
        <v>0</v>
      </c>
    </row>
    <row r="2956" spans="1:12" ht="26.25" hidden="1" thickBot="1" x14ac:dyDescent="0.3">
      <c r="A2956" s="181"/>
      <c r="B2956" s="179"/>
      <c r="C2956" s="25" t="s">
        <v>1016</v>
      </c>
      <c r="D2956" s="36" t="s">
        <v>1629</v>
      </c>
      <c r="E2956" s="26">
        <v>2.5000000000000001E-2</v>
      </c>
      <c r="F2956" s="27" t="s">
        <v>1678</v>
      </c>
      <c r="G2956" s="19">
        <v>12.426</v>
      </c>
      <c r="H2956" s="27" t="s">
        <v>1017</v>
      </c>
      <c r="I2956" s="23">
        <f>IF(ISNUMBER(G2956),E2956*G2956,"")</f>
        <v>0.31065000000000004</v>
      </c>
      <c r="J2956" s="28">
        <f>SUM(I2956:I2960)</f>
        <v>6.9466412999999987</v>
      </c>
      <c r="K2956" s="29"/>
      <c r="L2956" s="174">
        <v>0</v>
      </c>
    </row>
    <row r="2957" spans="1:12" ht="39" hidden="1" thickBot="1" x14ac:dyDescent="0.3">
      <c r="A2957" s="181"/>
      <c r="B2957" s="179"/>
      <c r="C2957" s="25" t="s">
        <v>1630</v>
      </c>
      <c r="D2957" s="36" t="s">
        <v>588</v>
      </c>
      <c r="E2957" s="26">
        <v>0.113</v>
      </c>
      <c r="F2957" s="27" t="s">
        <v>1682</v>
      </c>
      <c r="G2957" s="19">
        <v>0.1235</v>
      </c>
      <c r="H2957" s="27" t="s">
        <v>1631</v>
      </c>
      <c r="I2957" s="23">
        <f>IF(ISNUMBER(G2957),E2957*G2957,"")</f>
        <v>1.3955500000000001E-2</v>
      </c>
      <c r="J2957" s="24"/>
      <c r="K2957" s="19"/>
      <c r="L2957" s="174">
        <v>0</v>
      </c>
    </row>
    <row r="2958" spans="1:12" ht="15.75" hidden="1" thickBot="1" x14ac:dyDescent="0.3">
      <c r="A2958" s="181"/>
      <c r="B2958" s="179"/>
      <c r="C2958" s="25" t="s">
        <v>1632</v>
      </c>
      <c r="D2958" s="36" t="s">
        <v>1366</v>
      </c>
      <c r="E2958" s="26">
        <v>5.1000000000000004E-3</v>
      </c>
      <c r="F2958" s="27" t="s">
        <v>1682</v>
      </c>
      <c r="G2958" s="19">
        <v>14.933999999999999</v>
      </c>
      <c r="H2958" s="27" t="s">
        <v>1633</v>
      </c>
      <c r="I2958" s="23">
        <f>IF(ISNUMBER(G2958),E2958*G2958,"")</f>
        <v>7.6163400000000006E-2</v>
      </c>
      <c r="J2958" s="24"/>
      <c r="K2958" s="19"/>
      <c r="L2958" s="174">
        <v>0</v>
      </c>
    </row>
    <row r="2959" spans="1:12" ht="15.75" hidden="1" thickBot="1" x14ac:dyDescent="0.3">
      <c r="A2959" s="181"/>
      <c r="B2959" s="179"/>
      <c r="C2959" s="25" t="s">
        <v>1634</v>
      </c>
      <c r="D2959" s="36" t="s">
        <v>1366</v>
      </c>
      <c r="E2959" s="26">
        <v>3.1199999999999999E-2</v>
      </c>
      <c r="F2959" s="27" t="s">
        <v>1682</v>
      </c>
      <c r="G2959" s="19">
        <v>19.056999999999999</v>
      </c>
      <c r="H2959" s="27" t="s">
        <v>1635</v>
      </c>
      <c r="I2959" s="23">
        <f>IF(ISNUMBER(G2959),E2959*G2959,"")</f>
        <v>0.59457839999999995</v>
      </c>
      <c r="J2959" s="24"/>
      <c r="K2959" s="19"/>
      <c r="L2959" s="174">
        <v>0</v>
      </c>
    </row>
    <row r="2960" spans="1:12" ht="26.25" hidden="1" thickBot="1" x14ac:dyDescent="0.3">
      <c r="A2960" s="181"/>
      <c r="B2960" s="179"/>
      <c r="C2960" s="25" t="s">
        <v>1683</v>
      </c>
      <c r="D2960" s="36" t="s">
        <v>1629</v>
      </c>
      <c r="E2960" s="26">
        <v>1</v>
      </c>
      <c r="F2960" s="27" t="s">
        <v>1682</v>
      </c>
      <c r="G2960" s="19">
        <v>5.951293999999999</v>
      </c>
      <c r="H2960" s="27" t="s">
        <v>1684</v>
      </c>
      <c r="I2960" s="23">
        <f>IF(ISNUMBER(G2960),E2960*G2960,"")</f>
        <v>5.951293999999999</v>
      </c>
      <c r="J2960" s="24"/>
      <c r="K2960" s="19"/>
      <c r="L2960" s="174">
        <v>0</v>
      </c>
    </row>
    <row r="2961" spans="1:12" ht="15.75" hidden="1" thickBot="1" x14ac:dyDescent="0.3">
      <c r="A2961" s="182"/>
      <c r="B2961" s="183"/>
      <c r="C2961" s="25"/>
      <c r="D2961" s="25"/>
      <c r="E2961" s="26"/>
      <c r="F2961" s="27"/>
      <c r="G2961" s="19" t="s">
        <v>1079</v>
      </c>
      <c r="H2961" s="27"/>
      <c r="I2961" s="23" t="str">
        <f>IF(ISNUMBER(G2961),E2961*G2961,"")</f>
        <v/>
      </c>
      <c r="J2961" s="24"/>
      <c r="K2961" s="19"/>
      <c r="L2961" s="174">
        <v>0</v>
      </c>
    </row>
    <row r="2962" spans="1:12" ht="15.75" hidden="1" thickBot="1" x14ac:dyDescent="0.3">
      <c r="A2962" s="180" t="s">
        <v>1685</v>
      </c>
      <c r="B2962" s="178" t="str">
        <f>INDEX(Orçamentária!A:B,MATCH(Composições!A2962,Orçamentária!A:A,0),2)</f>
        <v>Remoção de mola hidráulica de piso</v>
      </c>
      <c r="C2962" s="30"/>
      <c r="D2962" s="13" t="str">
        <f>TRIM(INDEX(Orçamentária!C:C,MATCH(Composições!A2962,Orçamentária!A:A,0),1))</f>
        <v>un</v>
      </c>
      <c r="E2962" s="14"/>
      <c r="F2962" s="15" t="s">
        <v>157</v>
      </c>
      <c r="G2962" s="31" t="s">
        <v>1079</v>
      </c>
      <c r="H2962" s="16"/>
      <c r="I2962" s="16" t="str">
        <f>IF(ISNUMBER(G2962),E2962*G2962,"")</f>
        <v/>
      </c>
      <c r="J2962" s="17"/>
      <c r="K2962" s="18"/>
      <c r="L2962" s="174">
        <v>0</v>
      </c>
    </row>
    <row r="2963" spans="1:12" ht="15.75" hidden="1" thickBot="1" x14ac:dyDescent="0.3">
      <c r="A2963" s="181"/>
      <c r="B2963" s="179"/>
      <c r="C2963" s="170"/>
      <c r="D2963" s="20"/>
      <c r="E2963" s="21"/>
      <c r="F2963" s="22"/>
      <c r="G2963" s="32" t="s">
        <v>1079</v>
      </c>
      <c r="H2963" s="20"/>
      <c r="I2963" s="23" t="str">
        <f>IF(ISNUMBER(G2963),E2963*G2963,"")</f>
        <v/>
      </c>
      <c r="J2963" s="24"/>
      <c r="K2963" s="19"/>
      <c r="L2963" s="174">
        <v>0</v>
      </c>
    </row>
    <row r="2964" spans="1:12" ht="15.75" hidden="1" thickBot="1" x14ac:dyDescent="0.3">
      <c r="A2964" s="181"/>
      <c r="B2964" s="179"/>
      <c r="C2964" s="25" t="s">
        <v>38</v>
      </c>
      <c r="D2964" s="36" t="s">
        <v>21</v>
      </c>
      <c r="E2964" s="26">
        <v>0.55000000000000004</v>
      </c>
      <c r="F2964" s="27" t="s">
        <v>158</v>
      </c>
      <c r="G2964" s="19">
        <v>14.325999999999999</v>
      </c>
      <c r="H2964" s="27" t="s">
        <v>39</v>
      </c>
      <c r="I2964" s="23">
        <f>IF(ISNUMBER(G2964),E2964*G2964,"")</f>
        <v>7.8792999999999997</v>
      </c>
      <c r="J2964" s="28">
        <f>SUM(I2964:I2965)</f>
        <v>17.697074999999998</v>
      </c>
      <c r="K2964" s="29"/>
      <c r="L2964" s="174">
        <v>0</v>
      </c>
    </row>
    <row r="2965" spans="1:12" ht="15.75" hidden="1" thickBot="1" x14ac:dyDescent="0.3">
      <c r="A2965" s="181"/>
      <c r="B2965" s="179"/>
      <c r="C2965" s="25" t="s">
        <v>134</v>
      </c>
      <c r="D2965" s="36" t="s">
        <v>21</v>
      </c>
      <c r="E2965" s="26">
        <v>0.55000000000000004</v>
      </c>
      <c r="F2965" s="27" t="s">
        <v>17</v>
      </c>
      <c r="G2965" s="19">
        <v>17.850499999999997</v>
      </c>
      <c r="H2965" s="27" t="s">
        <v>135</v>
      </c>
      <c r="I2965" s="23">
        <f>IF(ISNUMBER(G2965),E2965*G2965,"")</f>
        <v>9.8177749999999993</v>
      </c>
      <c r="J2965" s="24"/>
      <c r="K2965" s="19"/>
      <c r="L2965" s="174">
        <v>0</v>
      </c>
    </row>
    <row r="2966" spans="1:12" ht="15.75" hidden="1" thickBot="1" x14ac:dyDescent="0.3">
      <c r="A2966" s="182"/>
      <c r="B2966" s="183"/>
      <c r="C2966" s="25"/>
      <c r="D2966" s="25"/>
      <c r="E2966" s="26"/>
      <c r="F2966" s="27"/>
      <c r="G2966" s="19" t="s">
        <v>1079</v>
      </c>
      <c r="H2966" s="27"/>
      <c r="I2966" s="23" t="str">
        <f>IF(ISNUMBER(G2966),E2966*G2966,"")</f>
        <v/>
      </c>
      <c r="J2966" s="24"/>
      <c r="K2966" s="19"/>
      <c r="L2966" s="174">
        <v>0</v>
      </c>
    </row>
    <row r="2967" spans="1:12" ht="15.75" hidden="1" thickBot="1" x14ac:dyDescent="0.3">
      <c r="A2967" s="180" t="s">
        <v>1686</v>
      </c>
      <c r="B2967" s="178" t="str">
        <f>INDEX(Orçamentária!A:B,MATCH(Composições!A2967,Orçamentária!A:A,0),2)</f>
        <v>Escavação manual de valas</v>
      </c>
      <c r="C2967" s="30"/>
      <c r="D2967" s="13" t="str">
        <f>TRIM(INDEX(Orçamentária!C:C,MATCH(Composições!A2967,Orçamentária!A:A,0),1))</f>
        <v>m3</v>
      </c>
      <c r="E2967" s="14"/>
      <c r="F2967" s="15" t="str">
        <f>F2969</f>
        <v>Sinapi 93358</v>
      </c>
      <c r="G2967" s="31" t="s">
        <v>1079</v>
      </c>
      <c r="H2967" s="16"/>
      <c r="I2967" s="16" t="str">
        <f>IF(ISNUMBER(G2967),E2967*G2967,"")</f>
        <v/>
      </c>
      <c r="J2967" s="17"/>
      <c r="K2967" s="18"/>
      <c r="L2967" s="174">
        <v>0</v>
      </c>
    </row>
    <row r="2968" spans="1:12" ht="15.75" hidden="1" thickBot="1" x14ac:dyDescent="0.3">
      <c r="A2968" s="181"/>
      <c r="B2968" s="179"/>
      <c r="C2968" s="20"/>
      <c r="D2968" s="20"/>
      <c r="E2968" s="21"/>
      <c r="F2968" s="22"/>
      <c r="G2968" s="32" t="s">
        <v>1079</v>
      </c>
      <c r="H2968" s="20"/>
      <c r="I2968" s="23" t="str">
        <f>IF(ISNUMBER(G2968),E2968*G2968,"")</f>
        <v/>
      </c>
      <c r="J2968" s="24"/>
      <c r="K2968" s="19"/>
      <c r="L2968" s="174">
        <v>0</v>
      </c>
    </row>
    <row r="2969" spans="1:12" ht="15.75" hidden="1" thickBot="1" x14ac:dyDescent="0.3">
      <c r="A2969" s="181"/>
      <c r="B2969" s="179"/>
      <c r="C2969" s="25" t="s">
        <v>38</v>
      </c>
      <c r="D2969" s="36" t="s">
        <v>21</v>
      </c>
      <c r="E2969" s="26">
        <v>3.956</v>
      </c>
      <c r="F2969" s="27" t="s">
        <v>1687</v>
      </c>
      <c r="G2969" s="19">
        <v>14.325999999999999</v>
      </c>
      <c r="H2969" s="27" t="s">
        <v>39</v>
      </c>
      <c r="I2969" s="23">
        <f>IF(ISNUMBER(G2969),E2969*G2969,"")</f>
        <v>56.673655999999994</v>
      </c>
      <c r="J2969" s="28">
        <f>SUM(I2969:I2969)</f>
        <v>56.673655999999994</v>
      </c>
      <c r="K2969" s="29"/>
      <c r="L2969" s="174">
        <v>0</v>
      </c>
    </row>
    <row r="2970" spans="1:12" ht="15.75" hidden="1" thickBot="1" x14ac:dyDescent="0.3">
      <c r="A2970" s="182"/>
      <c r="B2970" s="183"/>
      <c r="C2970" s="25"/>
      <c r="D2970" s="25"/>
      <c r="E2970" s="26"/>
      <c r="F2970" s="27"/>
      <c r="G2970" s="19" t="s">
        <v>1079</v>
      </c>
      <c r="H2970" s="27"/>
      <c r="I2970" s="23" t="str">
        <f>IF(ISNUMBER(G2970),E2970*G2970,"")</f>
        <v/>
      </c>
      <c r="J2970" s="24"/>
      <c r="K2970" s="19"/>
      <c r="L2970" s="174">
        <v>0</v>
      </c>
    </row>
    <row r="2971" spans="1:12" ht="15.75" hidden="1" thickBot="1" x14ac:dyDescent="0.3">
      <c r="A2971" s="180" t="s">
        <v>1688</v>
      </c>
      <c r="B2971" s="178" t="str">
        <f>INDEX(Orçamentária!A:B,MATCH(Composições!A2971,Orçamentária!A:A,0),2)</f>
        <v>Reaterro de vala com compactação mecanizada</v>
      </c>
      <c r="C2971" s="30"/>
      <c r="D2971" s="13" t="str">
        <f>TRIM(INDEX(Orçamentária!C:C,MATCH(Composições!A2971,Orçamentária!A:A,0),1))</f>
        <v>m3</v>
      </c>
      <c r="E2971" s="14"/>
      <c r="F2971" s="15" t="s">
        <v>1689</v>
      </c>
      <c r="G2971" s="31" t="s">
        <v>1079</v>
      </c>
      <c r="H2971" s="16"/>
      <c r="I2971" s="16" t="str">
        <f>IF(ISNUMBER(G2971),E2971*G2971,"")</f>
        <v/>
      </c>
      <c r="J2971" s="17"/>
      <c r="K2971" s="18"/>
      <c r="L2971" s="174">
        <v>0</v>
      </c>
    </row>
    <row r="2972" spans="1:12" ht="15.75" hidden="1" thickBot="1" x14ac:dyDescent="0.3">
      <c r="A2972" s="181"/>
      <c r="B2972" s="179"/>
      <c r="C2972" s="20"/>
      <c r="D2972" s="20"/>
      <c r="E2972" s="21"/>
      <c r="F2972" s="22"/>
      <c r="G2972" s="32" t="s">
        <v>1079</v>
      </c>
      <c r="H2972" s="20"/>
      <c r="I2972" s="23" t="str">
        <f>IF(ISNUMBER(G2972),E2972*G2972,"")</f>
        <v/>
      </c>
      <c r="J2972" s="24"/>
      <c r="K2972" s="19"/>
      <c r="L2972" s="174">
        <v>0</v>
      </c>
    </row>
    <row r="2973" spans="1:12" ht="15.75" hidden="1" thickBot="1" x14ac:dyDescent="0.3">
      <c r="A2973" s="181"/>
      <c r="B2973" s="179"/>
      <c r="C2973" s="25" t="s">
        <v>1367</v>
      </c>
      <c r="D2973" s="36" t="s">
        <v>1366</v>
      </c>
      <c r="E2973" s="26">
        <v>0.65</v>
      </c>
      <c r="F2973" s="27" t="s">
        <v>1689</v>
      </c>
      <c r="G2973" s="19">
        <v>14.325999999999999</v>
      </c>
      <c r="H2973" s="27" t="s">
        <v>39</v>
      </c>
      <c r="I2973" s="23">
        <f>IF(ISNUMBER(G2973),E2973*G2973,"")</f>
        <v>9.3118999999999996</v>
      </c>
      <c r="J2973" s="28">
        <f>SUM(I2973:I2976)</f>
        <v>20.185029999999998</v>
      </c>
      <c r="K2973" s="29"/>
      <c r="L2973" s="174">
        <v>0</v>
      </c>
    </row>
    <row r="2974" spans="1:12" ht="39" hidden="1" thickBot="1" x14ac:dyDescent="0.3">
      <c r="A2974" s="181"/>
      <c r="B2974" s="179"/>
      <c r="C2974" s="25" t="s">
        <v>1690</v>
      </c>
      <c r="D2974" s="36" t="s">
        <v>1691</v>
      </c>
      <c r="E2974" s="26">
        <v>0.27400000000000002</v>
      </c>
      <c r="F2974" s="27" t="s">
        <v>1689</v>
      </c>
      <c r="G2974" s="19">
        <v>20.700499999999998</v>
      </c>
      <c r="H2974" s="27" t="s">
        <v>1692</v>
      </c>
      <c r="I2974" s="23">
        <f>IF(ISNUMBER(G2974),E2974*G2974,"")</f>
        <v>5.6719369999999998</v>
      </c>
      <c r="J2974" s="24"/>
      <c r="K2974" s="19"/>
      <c r="L2974" s="174">
        <v>0</v>
      </c>
    </row>
    <row r="2975" spans="1:12" ht="39" hidden="1" thickBot="1" x14ac:dyDescent="0.3">
      <c r="A2975" s="181"/>
      <c r="B2975" s="179"/>
      <c r="C2975" s="25" t="s">
        <v>1693</v>
      </c>
      <c r="D2975" s="36" t="s">
        <v>1694</v>
      </c>
      <c r="E2975" s="26">
        <v>0.254</v>
      </c>
      <c r="F2975" s="27" t="s">
        <v>1689</v>
      </c>
      <c r="G2975" s="19">
        <v>16.074000000000002</v>
      </c>
      <c r="H2975" s="27" t="s">
        <v>1695</v>
      </c>
      <c r="I2975" s="23">
        <f>IF(ISNUMBER(G2975),E2975*G2975,"")</f>
        <v>4.0827960000000001</v>
      </c>
      <c r="J2975" s="24"/>
      <c r="K2975" s="19"/>
      <c r="L2975" s="174">
        <v>0</v>
      </c>
    </row>
    <row r="2976" spans="1:12" ht="26.25" hidden="1" thickBot="1" x14ac:dyDescent="0.3">
      <c r="A2976" s="181"/>
      <c r="B2976" s="179"/>
      <c r="C2976" s="25" t="s">
        <v>1696</v>
      </c>
      <c r="D2976" s="25" t="s">
        <v>252</v>
      </c>
      <c r="E2976" s="26">
        <v>1</v>
      </c>
      <c r="F2976" s="27" t="s">
        <v>1689</v>
      </c>
      <c r="G2976" s="19">
        <v>1.1183969999999999</v>
      </c>
      <c r="H2976" s="27" t="s">
        <v>1697</v>
      </c>
      <c r="I2976" s="23">
        <f>IF(ISNUMBER(G2976),E2976*G2976,"")</f>
        <v>1.1183969999999999</v>
      </c>
      <c r="J2976" s="24"/>
      <c r="K2976" s="19"/>
      <c r="L2976" s="174">
        <v>0</v>
      </c>
    </row>
    <row r="2977" spans="1:12" ht="15.75" hidden="1" thickBot="1" x14ac:dyDescent="0.3">
      <c r="A2977" s="182"/>
      <c r="B2977" s="183"/>
      <c r="C2977" s="25"/>
      <c r="D2977" s="25"/>
      <c r="E2977" s="26"/>
      <c r="F2977" s="27"/>
      <c r="G2977" s="19" t="s">
        <v>1079</v>
      </c>
      <c r="H2977" s="27"/>
      <c r="I2977" s="23" t="str">
        <f>IF(ISNUMBER(G2977),E2977*G2977,"")</f>
        <v/>
      </c>
      <c r="J2977" s="24"/>
      <c r="K2977" s="19"/>
      <c r="L2977" s="174">
        <v>0</v>
      </c>
    </row>
    <row r="2978" spans="1:12" ht="15.75" hidden="1" thickBot="1" x14ac:dyDescent="0.3">
      <c r="A2978" s="180" t="s">
        <v>1698</v>
      </c>
      <c r="B2978" s="178" t="str">
        <f>INDEX(Orçamentária!A:B,MATCH(Composições!A2978,Orçamentária!A:A,0),2)</f>
        <v>Aterro de vala com compactação mecanizada</v>
      </c>
      <c r="C2978" s="30"/>
      <c r="D2978" s="13" t="str">
        <f>TRIM(INDEX(Orçamentária!C:C,MATCH(Composições!A2978,Orçamentária!A:A,0),1))</f>
        <v>m3</v>
      </c>
      <c r="E2978" s="14"/>
      <c r="F2978" s="15" t="s">
        <v>1699</v>
      </c>
      <c r="G2978" s="31" t="s">
        <v>1079</v>
      </c>
      <c r="H2978" s="16"/>
      <c r="I2978" s="16" t="str">
        <f>IF(ISNUMBER(G2978),E2978*G2978,"")</f>
        <v/>
      </c>
      <c r="J2978" s="17"/>
      <c r="K2978" s="18"/>
      <c r="L2978" s="174">
        <v>0</v>
      </c>
    </row>
    <row r="2979" spans="1:12" ht="15.75" hidden="1" thickBot="1" x14ac:dyDescent="0.3">
      <c r="A2979" s="181"/>
      <c r="B2979" s="179"/>
      <c r="C2979" s="20"/>
      <c r="D2979" s="20"/>
      <c r="E2979" s="21"/>
      <c r="F2979" s="22"/>
      <c r="G2979" s="32" t="s">
        <v>1079</v>
      </c>
      <c r="H2979" s="20"/>
      <c r="I2979" s="23" t="str">
        <f>IF(ISNUMBER(G2979),E2979*G2979,"")</f>
        <v/>
      </c>
      <c r="J2979" s="24"/>
      <c r="K2979" s="19"/>
      <c r="L2979" s="174">
        <v>0</v>
      </c>
    </row>
    <row r="2980" spans="1:12" ht="51.75" hidden="1" thickBot="1" x14ac:dyDescent="0.3">
      <c r="A2980" s="181"/>
      <c r="B2980" s="179"/>
      <c r="C2980" s="25" t="s">
        <v>1700</v>
      </c>
      <c r="D2980" s="36" t="s">
        <v>1691</v>
      </c>
      <c r="E2980" s="26">
        <v>6.0000000000000001E-3</v>
      </c>
      <c r="F2980" s="27" t="s">
        <v>1701</v>
      </c>
      <c r="G2980" s="19">
        <v>149.07399999999998</v>
      </c>
      <c r="H2980" s="27" t="s">
        <v>1702</v>
      </c>
      <c r="I2980" s="23">
        <f>IF(ISNUMBER(G2980),E2980*G2980,"")</f>
        <v>0.89444399999999991</v>
      </c>
      <c r="J2980" s="28">
        <f>SUM(I2980:I2987)</f>
        <v>57.950261249999997</v>
      </c>
      <c r="K2980" s="29"/>
      <c r="L2980" s="174">
        <v>0</v>
      </c>
    </row>
    <row r="2981" spans="1:12" ht="51.75" hidden="1" thickBot="1" x14ac:dyDescent="0.3">
      <c r="A2981" s="181"/>
      <c r="B2981" s="179"/>
      <c r="C2981" s="25" t="s">
        <v>1703</v>
      </c>
      <c r="D2981" s="36" t="s">
        <v>1694</v>
      </c>
      <c r="E2981" s="26">
        <v>3.0000000000000001E-3</v>
      </c>
      <c r="F2981" s="27" t="s">
        <v>1701</v>
      </c>
      <c r="G2981" s="19">
        <v>31.673000000000002</v>
      </c>
      <c r="H2981" s="27" t="s">
        <v>1704</v>
      </c>
      <c r="I2981" s="23">
        <f>IF(ISNUMBER(G2981),E2981*G2981,"")</f>
        <v>9.5019000000000006E-2</v>
      </c>
      <c r="J2981" s="24"/>
      <c r="K2981" s="19"/>
      <c r="L2981" s="174">
        <v>0</v>
      </c>
    </row>
    <row r="2982" spans="1:12" ht="26.25" hidden="1" thickBot="1" x14ac:dyDescent="0.3">
      <c r="A2982" s="181"/>
      <c r="B2982" s="179"/>
      <c r="C2982" s="25" t="s">
        <v>1705</v>
      </c>
      <c r="D2982" s="36" t="s">
        <v>252</v>
      </c>
      <c r="E2982" s="26">
        <v>1.25</v>
      </c>
      <c r="F2982" s="27" t="s">
        <v>1701</v>
      </c>
      <c r="G2982" s="19">
        <v>8.7780000000000005</v>
      </c>
      <c r="H2982" s="27" t="s">
        <v>1706</v>
      </c>
      <c r="I2982" s="23">
        <f>IF(ISNUMBER(G2982),E2982*G2982,"")</f>
        <v>10.9725</v>
      </c>
      <c r="J2982" s="24"/>
      <c r="K2982" s="19"/>
      <c r="L2982" s="174">
        <v>0</v>
      </c>
    </row>
    <row r="2983" spans="1:12" ht="15.75" hidden="1" thickBot="1" x14ac:dyDescent="0.3">
      <c r="A2983" s="181"/>
      <c r="B2983" s="179"/>
      <c r="C2983" s="25" t="s">
        <v>1367</v>
      </c>
      <c r="D2983" s="25" t="s">
        <v>1366</v>
      </c>
      <c r="E2983" s="26">
        <v>0.65900000000000003</v>
      </c>
      <c r="F2983" s="27" t="s">
        <v>1701</v>
      </c>
      <c r="G2983" s="19">
        <v>14.325999999999999</v>
      </c>
      <c r="H2983" s="27" t="s">
        <v>39</v>
      </c>
      <c r="I2983" s="23">
        <f>IF(ISNUMBER(G2983),E2983*G2983,"")</f>
        <v>9.4408339999999988</v>
      </c>
      <c r="J2983" s="24"/>
      <c r="K2983" s="19"/>
      <c r="L2983" s="174">
        <v>0</v>
      </c>
    </row>
    <row r="2984" spans="1:12" ht="39" hidden="1" thickBot="1" x14ac:dyDescent="0.3">
      <c r="A2984" s="181"/>
      <c r="B2984" s="179"/>
      <c r="C2984" s="25" t="s">
        <v>1690</v>
      </c>
      <c r="D2984" s="25" t="s">
        <v>1691</v>
      </c>
      <c r="E2984" s="26">
        <v>0.27400000000000002</v>
      </c>
      <c r="F2984" s="27" t="s">
        <v>1701</v>
      </c>
      <c r="G2984" s="19">
        <v>20.700499999999998</v>
      </c>
      <c r="H2984" s="27" t="s">
        <v>1692</v>
      </c>
      <c r="I2984" s="23">
        <f>IF(ISNUMBER(G2984),E2984*G2984,"")</f>
        <v>5.6719369999999998</v>
      </c>
      <c r="J2984" s="24"/>
      <c r="K2984" s="19"/>
      <c r="L2984" s="174">
        <v>0</v>
      </c>
    </row>
    <row r="2985" spans="1:12" ht="39" hidden="1" thickBot="1" x14ac:dyDescent="0.3">
      <c r="A2985" s="181"/>
      <c r="B2985" s="179"/>
      <c r="C2985" s="25" t="s">
        <v>1693</v>
      </c>
      <c r="D2985" s="25" t="s">
        <v>1694</v>
      </c>
      <c r="E2985" s="26">
        <v>0.254</v>
      </c>
      <c r="F2985" s="27" t="s">
        <v>1701</v>
      </c>
      <c r="G2985" s="19">
        <v>16.074000000000002</v>
      </c>
      <c r="H2985" s="27" t="s">
        <v>1695</v>
      </c>
      <c r="I2985" s="23">
        <f>IF(ISNUMBER(G2985),E2985*G2985,"")</f>
        <v>4.0827960000000001</v>
      </c>
      <c r="J2985" s="24"/>
      <c r="K2985" s="19"/>
      <c r="L2985" s="174">
        <v>0</v>
      </c>
    </row>
    <row r="2986" spans="1:12" ht="39" hidden="1" thickBot="1" x14ac:dyDescent="0.3">
      <c r="A2986" s="181"/>
      <c r="B2986" s="179"/>
      <c r="C2986" s="25" t="s">
        <v>251</v>
      </c>
      <c r="D2986" s="25" t="s">
        <v>228</v>
      </c>
      <c r="E2986" s="26">
        <f>E2982*1</f>
        <v>1.25</v>
      </c>
      <c r="F2986" s="27" t="s">
        <v>17</v>
      </c>
      <c r="G2986" s="23">
        <v>0.72471700000000006</v>
      </c>
      <c r="H2986" s="27" t="s">
        <v>253</v>
      </c>
      <c r="I2986" s="23">
        <f>IF(ISNUMBER(G2986),E2986*G2986,"")</f>
        <v>0.90589625000000007</v>
      </c>
      <c r="J2986" s="24"/>
      <c r="K2986" s="19"/>
      <c r="L2986" s="174">
        <v>0</v>
      </c>
    </row>
    <row r="2987" spans="1:12" ht="39" hidden="1" thickBot="1" x14ac:dyDescent="0.3">
      <c r="A2987" s="181"/>
      <c r="B2987" s="179"/>
      <c r="C2987" s="25" t="s">
        <v>254</v>
      </c>
      <c r="D2987" s="36" t="s">
        <v>255</v>
      </c>
      <c r="E2987" s="26">
        <f>E2982*20</f>
        <v>25</v>
      </c>
      <c r="F2987" s="27" t="s">
        <v>17</v>
      </c>
      <c r="G2987" s="23">
        <v>1.0354733999999999</v>
      </c>
      <c r="H2987" s="27" t="s">
        <v>256</v>
      </c>
      <c r="I2987" s="23">
        <f>IF(ISNUMBER(G2987),E2987*G2987,"")</f>
        <v>25.886834999999998</v>
      </c>
      <c r="J2987" s="24"/>
      <c r="K2987" s="19"/>
      <c r="L2987" s="174">
        <v>0</v>
      </c>
    </row>
    <row r="2988" spans="1:12" ht="15.75" hidden="1" thickBot="1" x14ac:dyDescent="0.3">
      <c r="A2988" s="181"/>
      <c r="B2988" s="179"/>
      <c r="C2988" s="42"/>
      <c r="D2988" s="36"/>
      <c r="E2988" s="26"/>
      <c r="F2988" s="27"/>
      <c r="G2988" s="23" t="s">
        <v>1079</v>
      </c>
      <c r="H2988" s="27"/>
      <c r="I2988" s="23" t="str">
        <f>IF(ISNUMBER(G2988),E2988*G2988,"")</f>
        <v/>
      </c>
      <c r="J2988" s="24"/>
      <c r="K2988" s="19"/>
      <c r="L2988" s="174">
        <v>0</v>
      </c>
    </row>
    <row r="2989" spans="1:12" ht="26.25" hidden="1" thickBot="1" x14ac:dyDescent="0.3">
      <c r="A2989" s="181"/>
      <c r="B2989" s="179"/>
      <c r="C2989" s="39" t="s">
        <v>1707</v>
      </c>
      <c r="D2989" s="36"/>
      <c r="E2989" s="26"/>
      <c r="F2989" s="27"/>
      <c r="G2989" s="23" t="s">
        <v>1079</v>
      </c>
      <c r="H2989" s="27"/>
      <c r="I2989" s="23" t="str">
        <f>IF(ISNUMBER(G2989),E2989*G2989,"")</f>
        <v/>
      </c>
      <c r="J2989" s="24"/>
      <c r="K2989" s="19"/>
      <c r="L2989" s="174">
        <v>0</v>
      </c>
    </row>
    <row r="2990" spans="1:12" ht="15.75" hidden="1" thickBot="1" x14ac:dyDescent="0.3">
      <c r="A2990" s="182"/>
      <c r="B2990" s="183"/>
      <c r="C2990" s="25"/>
      <c r="D2990" s="25"/>
      <c r="E2990" s="26"/>
      <c r="F2990" s="27"/>
      <c r="G2990" s="19" t="s">
        <v>1079</v>
      </c>
      <c r="H2990" s="27"/>
      <c r="I2990" s="19" t="str">
        <f>IF(ISNUMBER(G2990),E2990*G2990,"")</f>
        <v/>
      </c>
      <c r="J2990" s="24"/>
      <c r="K2990" s="19"/>
      <c r="L2990" s="174">
        <v>0</v>
      </c>
    </row>
    <row r="2991" spans="1:12" ht="15.75" hidden="1" thickBot="1" x14ac:dyDescent="0.3">
      <c r="A2991" s="180" t="s">
        <v>1708</v>
      </c>
      <c r="B2991" s="178" t="str">
        <f>INDEX(Orçamentária!A:B,MATCH(Composições!A2991,Orçamentária!A:A,0),2)</f>
        <v>Tubo de cobre classe "E" 22mm</v>
      </c>
      <c r="C2991" s="30"/>
      <c r="D2991" s="13" t="str">
        <f>TRIM(INDEX(Orçamentária!C:C,MATCH(Composições!A2991,Orçamentária!A:A,0),1))</f>
        <v>m</v>
      </c>
      <c r="E2991" s="14"/>
      <c r="F2991" s="15" t="s">
        <v>1709</v>
      </c>
      <c r="G2991" s="31" t="s">
        <v>1079</v>
      </c>
      <c r="H2991" s="16"/>
      <c r="I2991" s="16" t="str">
        <f>IF(ISNUMBER(G2991),E2991*G2991,"")</f>
        <v/>
      </c>
      <c r="J2991" s="17"/>
      <c r="K2991" s="18"/>
      <c r="L2991" s="174">
        <v>0</v>
      </c>
    </row>
    <row r="2992" spans="1:12" ht="15.75" hidden="1" thickBot="1" x14ac:dyDescent="0.3">
      <c r="A2992" s="181"/>
      <c r="B2992" s="179"/>
      <c r="C2992" s="20"/>
      <c r="D2992" s="20"/>
      <c r="E2992" s="21"/>
      <c r="F2992" s="22"/>
      <c r="G2992" s="32" t="s">
        <v>1079</v>
      </c>
      <c r="H2992" s="20"/>
      <c r="I2992" s="23" t="str">
        <f>IF(ISNUMBER(G2992),E2992*G2992,"")</f>
        <v/>
      </c>
      <c r="J2992" s="24"/>
      <c r="K2992" s="19"/>
      <c r="L2992" s="174">
        <v>0</v>
      </c>
    </row>
    <row r="2993" spans="1:12" ht="26.25" hidden="1" thickBot="1" x14ac:dyDescent="0.3">
      <c r="A2993" s="181"/>
      <c r="B2993" s="179"/>
      <c r="C2993" s="25" t="s">
        <v>1710</v>
      </c>
      <c r="D2993" s="25" t="s">
        <v>988</v>
      </c>
      <c r="E2993" s="26">
        <v>1.0210999999999999</v>
      </c>
      <c r="F2993" s="27" t="s">
        <v>1709</v>
      </c>
      <c r="G2993" s="19">
        <v>32.271499999999996</v>
      </c>
      <c r="H2993" s="27" t="s">
        <v>1711</v>
      </c>
      <c r="I2993" s="23">
        <f>IF(ISNUMBER(G2993),E2993*G2993,"")</f>
        <v>32.952428649999995</v>
      </c>
      <c r="J2993" s="28">
        <f>SUM(I2993:I2995)</f>
        <v>37.778732649999995</v>
      </c>
      <c r="K2993" s="29"/>
      <c r="L2993" s="174">
        <v>0</v>
      </c>
    </row>
    <row r="2994" spans="1:12" ht="26.25" hidden="1" thickBot="1" x14ac:dyDescent="0.3">
      <c r="A2994" s="181"/>
      <c r="B2994" s="179"/>
      <c r="C2994" s="25" t="s">
        <v>1712</v>
      </c>
      <c r="D2994" s="36" t="s">
        <v>1366</v>
      </c>
      <c r="E2994" s="26">
        <v>0.14399999999999999</v>
      </c>
      <c r="F2994" s="27" t="s">
        <v>1709</v>
      </c>
      <c r="G2994" s="19">
        <v>14.772500000000001</v>
      </c>
      <c r="H2994" s="27" t="s">
        <v>226</v>
      </c>
      <c r="I2994" s="23">
        <f>IF(ISNUMBER(G2994),E2994*G2994,"")</f>
        <v>2.12724</v>
      </c>
      <c r="J2994" s="24"/>
      <c r="K2994" s="19"/>
      <c r="L2994" s="174">
        <v>0</v>
      </c>
    </row>
    <row r="2995" spans="1:12" ht="26.25" hidden="1" thickBot="1" x14ac:dyDescent="0.3">
      <c r="A2995" s="181"/>
      <c r="B2995" s="179"/>
      <c r="C2995" s="25" t="s">
        <v>1713</v>
      </c>
      <c r="D2995" s="36" t="s">
        <v>1366</v>
      </c>
      <c r="E2995" s="26">
        <v>0.14399999999999999</v>
      </c>
      <c r="F2995" s="27" t="s">
        <v>1709</v>
      </c>
      <c r="G2995" s="19">
        <v>18.743500000000001</v>
      </c>
      <c r="H2995" s="27" t="s">
        <v>71</v>
      </c>
      <c r="I2995" s="23">
        <f>IF(ISNUMBER(G2995),E2995*G2995,"")</f>
        <v>2.6990639999999999</v>
      </c>
      <c r="J2995" s="24"/>
      <c r="K2995" s="19"/>
      <c r="L2995" s="174">
        <v>0</v>
      </c>
    </row>
    <row r="2996" spans="1:12" ht="15.75" hidden="1" thickBot="1" x14ac:dyDescent="0.3">
      <c r="A2996" s="182"/>
      <c r="B2996" s="183"/>
      <c r="C2996" s="25"/>
      <c r="D2996" s="25"/>
      <c r="E2996" s="26"/>
      <c r="F2996" s="27"/>
      <c r="G2996" s="19" t="s">
        <v>1079</v>
      </c>
      <c r="H2996" s="27"/>
      <c r="I2996" s="23" t="str">
        <f>IF(ISNUMBER(G2996),E2996*G2996,"")</f>
        <v/>
      </c>
      <c r="J2996" s="24"/>
      <c r="K2996" s="19"/>
      <c r="L2996" s="174">
        <v>0</v>
      </c>
    </row>
    <row r="2997" spans="1:12" ht="15.75" hidden="1" thickBot="1" x14ac:dyDescent="0.3">
      <c r="A2997" s="180" t="s">
        <v>1714</v>
      </c>
      <c r="B2997" s="178" t="str">
        <f>INDEX(Orçamentária!A:B,MATCH(Composições!A2997,Orçamentária!A:A,0),2)</f>
        <v>Tubo de cobre classe "E" 28 mm</v>
      </c>
      <c r="C2997" s="30"/>
      <c r="D2997" s="13" t="str">
        <f>TRIM(INDEX(Orçamentária!C:C,MATCH(Composições!A2997,Orçamentária!A:A,0),1))</f>
        <v>m</v>
      </c>
      <c r="E2997" s="14"/>
      <c r="F2997" s="15" t="str">
        <f>F2999</f>
        <v>Sinapi 92307</v>
      </c>
      <c r="G2997" s="31" t="s">
        <v>1079</v>
      </c>
      <c r="H2997" s="16"/>
      <c r="I2997" s="16" t="str">
        <f>IF(ISNUMBER(G2997),E2997*G2997,"")</f>
        <v/>
      </c>
      <c r="J2997" s="17"/>
      <c r="K2997" s="18"/>
      <c r="L2997" s="174">
        <v>0</v>
      </c>
    </row>
    <row r="2998" spans="1:12" ht="15.75" hidden="1" thickBot="1" x14ac:dyDescent="0.3">
      <c r="A2998" s="181"/>
      <c r="B2998" s="179"/>
      <c r="C2998" s="20"/>
      <c r="D2998" s="20"/>
      <c r="E2998" s="21"/>
      <c r="F2998" s="22"/>
      <c r="G2998" s="32" t="s">
        <v>1079</v>
      </c>
      <c r="H2998" s="20"/>
      <c r="I2998" s="23" t="str">
        <f>IF(ISNUMBER(G2998),E2998*G2998,"")</f>
        <v/>
      </c>
      <c r="J2998" s="24"/>
      <c r="K2998" s="19"/>
      <c r="L2998" s="174">
        <v>0</v>
      </c>
    </row>
    <row r="2999" spans="1:12" ht="26.25" hidden="1" thickBot="1" x14ac:dyDescent="0.3">
      <c r="A2999" s="181"/>
      <c r="B2999" s="179"/>
      <c r="C2999" s="25" t="s">
        <v>1715</v>
      </c>
      <c r="D2999" s="25" t="s">
        <v>988</v>
      </c>
      <c r="E2999" s="26">
        <v>1.0210999999999999</v>
      </c>
      <c r="F2999" s="27" t="s">
        <v>1716</v>
      </c>
      <c r="G2999" s="19">
        <v>40.963999999999999</v>
      </c>
      <c r="H2999" s="27" t="s">
        <v>1717</v>
      </c>
      <c r="I2999" s="23">
        <f>IF(ISNUMBER(G2999),E2999*G2999,"")</f>
        <v>41.828340399999995</v>
      </c>
      <c r="J2999" s="28">
        <f>SUM(I2999:I3001)</f>
        <v>47.19090039999999</v>
      </c>
      <c r="K2999" s="29"/>
      <c r="L2999" s="174">
        <v>0</v>
      </c>
    </row>
    <row r="3000" spans="1:12" ht="26.25" hidden="1" thickBot="1" x14ac:dyDescent="0.3">
      <c r="A3000" s="181"/>
      <c r="B3000" s="179"/>
      <c r="C3000" s="25" t="s">
        <v>1712</v>
      </c>
      <c r="D3000" s="36" t="s">
        <v>1366</v>
      </c>
      <c r="E3000" s="26">
        <v>0.16</v>
      </c>
      <c r="F3000" s="27" t="s">
        <v>1716</v>
      </c>
      <c r="G3000" s="19">
        <v>14.772500000000001</v>
      </c>
      <c r="H3000" s="27" t="s">
        <v>226</v>
      </c>
      <c r="I3000" s="23">
        <f>IF(ISNUMBER(G3000),E3000*G3000,"")</f>
        <v>2.3636000000000004</v>
      </c>
      <c r="J3000" s="24"/>
      <c r="K3000" s="19"/>
      <c r="L3000" s="174">
        <v>0</v>
      </c>
    </row>
    <row r="3001" spans="1:12" ht="26.25" hidden="1" thickBot="1" x14ac:dyDescent="0.3">
      <c r="A3001" s="181"/>
      <c r="B3001" s="179"/>
      <c r="C3001" s="25" t="s">
        <v>1713</v>
      </c>
      <c r="D3001" s="36" t="s">
        <v>1366</v>
      </c>
      <c r="E3001" s="26">
        <v>0.16</v>
      </c>
      <c r="F3001" s="27" t="s">
        <v>1716</v>
      </c>
      <c r="G3001" s="19">
        <v>18.743500000000001</v>
      </c>
      <c r="H3001" s="27" t="s">
        <v>71</v>
      </c>
      <c r="I3001" s="23">
        <f>IF(ISNUMBER(G3001),E3001*G3001,"")</f>
        <v>2.9989600000000003</v>
      </c>
      <c r="J3001" s="24"/>
      <c r="K3001" s="19"/>
      <c r="L3001" s="174">
        <v>0</v>
      </c>
    </row>
    <row r="3002" spans="1:12" ht="15.75" hidden="1" thickBot="1" x14ac:dyDescent="0.3">
      <c r="A3002" s="182"/>
      <c r="B3002" s="183"/>
      <c r="C3002" s="25"/>
      <c r="D3002" s="25"/>
      <c r="E3002" s="26"/>
      <c r="F3002" s="27"/>
      <c r="G3002" s="19" t="s">
        <v>1079</v>
      </c>
      <c r="H3002" s="27"/>
      <c r="I3002" s="23" t="str">
        <f>IF(ISNUMBER(G3002),E3002*G3002,"")</f>
        <v/>
      </c>
      <c r="J3002" s="24"/>
      <c r="K3002" s="19"/>
      <c r="L3002" s="174">
        <v>0</v>
      </c>
    </row>
    <row r="3003" spans="1:12" ht="15.75" hidden="1" thickBot="1" x14ac:dyDescent="0.3">
      <c r="A3003" s="180" t="s">
        <v>1718</v>
      </c>
      <c r="B3003" s="178" t="str">
        <f>INDEX(Orçamentária!A:B,MATCH(Composições!A3003,Orçamentária!A:A,0),2)</f>
        <v>Tubo de cobre classe "E" 42mm</v>
      </c>
      <c r="C3003" s="30"/>
      <c r="D3003" s="13" t="str">
        <f>TRIM(INDEX(Orçamentária!C:C,MATCH(Composições!A3003,Orçamentária!A:A,0),1))</f>
        <v>m</v>
      </c>
      <c r="E3003" s="14"/>
      <c r="F3003" s="15" t="str">
        <f>F3005</f>
        <v>Sinapi 92278</v>
      </c>
      <c r="G3003" s="31" t="s">
        <v>1079</v>
      </c>
      <c r="H3003" s="16"/>
      <c r="I3003" s="16" t="str">
        <f>IF(ISNUMBER(G3003),E3003*G3003,"")</f>
        <v/>
      </c>
      <c r="J3003" s="17"/>
      <c r="K3003" s="18"/>
      <c r="L3003" s="174">
        <v>0</v>
      </c>
    </row>
    <row r="3004" spans="1:12" ht="15.75" hidden="1" thickBot="1" x14ac:dyDescent="0.3">
      <c r="A3004" s="181"/>
      <c r="B3004" s="179"/>
      <c r="C3004" s="20"/>
      <c r="D3004" s="20"/>
      <c r="E3004" s="21"/>
      <c r="F3004" s="22"/>
      <c r="G3004" s="32" t="s">
        <v>1079</v>
      </c>
      <c r="H3004" s="20"/>
      <c r="I3004" s="23" t="str">
        <f>IF(ISNUMBER(G3004),E3004*G3004,"")</f>
        <v/>
      </c>
      <c r="J3004" s="24"/>
      <c r="K3004" s="19"/>
      <c r="L3004" s="174">
        <v>0</v>
      </c>
    </row>
    <row r="3005" spans="1:12" ht="26.25" hidden="1" thickBot="1" x14ac:dyDescent="0.3">
      <c r="A3005" s="181"/>
      <c r="B3005" s="179"/>
      <c r="C3005" s="25" t="s">
        <v>1719</v>
      </c>
      <c r="D3005" s="36" t="s">
        <v>988</v>
      </c>
      <c r="E3005" s="26">
        <v>1.0210999999999999</v>
      </c>
      <c r="F3005" s="27" t="s">
        <v>1720</v>
      </c>
      <c r="G3005" s="19">
        <v>80.322499999999991</v>
      </c>
      <c r="H3005" s="27" t="s">
        <v>1721</v>
      </c>
      <c r="I3005" s="23">
        <f>IF(ISNUMBER(G3005),E3005*G3005,"")</f>
        <v>82.01730474999998</v>
      </c>
      <c r="J3005" s="28">
        <f>SUM(I3005:I3007)</f>
        <v>84.564520749999971</v>
      </c>
      <c r="K3005" s="29"/>
      <c r="L3005" s="174">
        <v>0</v>
      </c>
    </row>
    <row r="3006" spans="1:12" ht="26.25" hidden="1" thickBot="1" x14ac:dyDescent="0.3">
      <c r="A3006" s="181"/>
      <c r="B3006" s="179"/>
      <c r="C3006" s="25" t="s">
        <v>1712</v>
      </c>
      <c r="D3006" s="36" t="s">
        <v>1366</v>
      </c>
      <c r="E3006" s="26">
        <v>7.5999999999999998E-2</v>
      </c>
      <c r="F3006" s="27" t="s">
        <v>1720</v>
      </c>
      <c r="G3006" s="19">
        <v>14.772500000000001</v>
      </c>
      <c r="H3006" s="27" t="s">
        <v>226</v>
      </c>
      <c r="I3006" s="23">
        <f>IF(ISNUMBER(G3006),E3006*G3006,"")</f>
        <v>1.1227100000000001</v>
      </c>
      <c r="J3006" s="24"/>
      <c r="K3006" s="19"/>
      <c r="L3006" s="174">
        <v>0</v>
      </c>
    </row>
    <row r="3007" spans="1:12" ht="26.25" hidden="1" thickBot="1" x14ac:dyDescent="0.3">
      <c r="A3007" s="181"/>
      <c r="B3007" s="179"/>
      <c r="C3007" s="25" t="s">
        <v>1713</v>
      </c>
      <c r="D3007" s="36" t="s">
        <v>1366</v>
      </c>
      <c r="E3007" s="26">
        <v>7.5999999999999998E-2</v>
      </c>
      <c r="F3007" s="27" t="s">
        <v>1720</v>
      </c>
      <c r="G3007" s="19">
        <v>18.743500000000001</v>
      </c>
      <c r="H3007" s="27" t="s">
        <v>71</v>
      </c>
      <c r="I3007" s="23">
        <f>IF(ISNUMBER(G3007),E3007*G3007,"")</f>
        <v>1.424506</v>
      </c>
      <c r="J3007" s="24"/>
      <c r="K3007" s="19"/>
      <c r="L3007" s="174">
        <v>0</v>
      </c>
    </row>
    <row r="3008" spans="1:12" ht="15.75" hidden="1" thickBot="1" x14ac:dyDescent="0.3">
      <c r="A3008" s="182"/>
      <c r="B3008" s="183"/>
      <c r="C3008" s="25"/>
      <c r="D3008" s="25"/>
      <c r="E3008" s="26"/>
      <c r="F3008" s="27"/>
      <c r="G3008" s="19" t="s">
        <v>1079</v>
      </c>
      <c r="H3008" s="27"/>
      <c r="I3008" s="23" t="str">
        <f>IF(ISNUMBER(G3008),E3008*G3008,"")</f>
        <v/>
      </c>
      <c r="J3008" s="24"/>
      <c r="K3008" s="19"/>
      <c r="L3008" s="174">
        <v>0</v>
      </c>
    </row>
    <row r="3009" spans="1:12" ht="15.75" hidden="1" thickBot="1" x14ac:dyDescent="0.3">
      <c r="A3009" s="180" t="s">
        <v>1722</v>
      </c>
      <c r="B3009" s="178" t="str">
        <f>INDEX(Orçamentária!A:B,MATCH(Composições!A3009,Orçamentária!A:A,0),2)</f>
        <v>Bacia convencional - Linha Acessibilidade</v>
      </c>
      <c r="C3009" s="30"/>
      <c r="D3009" s="13" t="str">
        <f>TRIM(INDEX(Orçamentária!C:C,MATCH(Composições!A3009,Orçamentária!A:A,0),1))</f>
        <v>un</v>
      </c>
      <c r="E3009" s="14"/>
      <c r="F3009" s="15" t="s">
        <v>725</v>
      </c>
      <c r="G3009" s="31" t="s">
        <v>1079</v>
      </c>
      <c r="H3009" s="16"/>
      <c r="I3009" s="16" t="str">
        <f>IF(ISNUMBER(G3009),E3009*G3009,"")</f>
        <v/>
      </c>
      <c r="J3009" s="17"/>
      <c r="K3009" s="18"/>
      <c r="L3009" s="174">
        <v>0</v>
      </c>
    </row>
    <row r="3010" spans="1:12" ht="15.75" hidden="1" thickBot="1" x14ac:dyDescent="0.3">
      <c r="A3010" s="181"/>
      <c r="B3010" s="179"/>
      <c r="C3010" s="20"/>
      <c r="D3010" s="20"/>
      <c r="E3010" s="21"/>
      <c r="F3010" s="22"/>
      <c r="G3010" s="32" t="s">
        <v>1079</v>
      </c>
      <c r="H3010" s="20"/>
      <c r="I3010" s="23" t="str">
        <f>IF(ISNUMBER(G3010),E3010*G3010,"")</f>
        <v/>
      </c>
      <c r="J3010" s="24"/>
      <c r="K3010" s="19"/>
      <c r="L3010" s="174">
        <v>0</v>
      </c>
    </row>
    <row r="3011" spans="1:12" ht="39" hidden="1" thickBot="1" x14ac:dyDescent="0.3">
      <c r="A3011" s="181"/>
      <c r="B3011" s="179"/>
      <c r="C3011" s="25" t="s">
        <v>1723</v>
      </c>
      <c r="D3011" s="36" t="s">
        <v>588</v>
      </c>
      <c r="E3011" s="26">
        <v>2</v>
      </c>
      <c r="F3011" s="27" t="s">
        <v>727</v>
      </c>
      <c r="G3011" s="19">
        <v>16.777000000000001</v>
      </c>
      <c r="H3011" s="27" t="s">
        <v>723</v>
      </c>
      <c r="I3011" s="23">
        <f>IF(ISNUMBER(G3011),E3011*G3011,"")</f>
        <v>33.554000000000002</v>
      </c>
      <c r="J3011" s="28">
        <f>SUM(I3011:I3017)</f>
        <v>591.78419919999999</v>
      </c>
      <c r="K3011" s="29"/>
      <c r="L3011" s="174">
        <v>0</v>
      </c>
    </row>
    <row r="3012" spans="1:12" ht="15.75" hidden="1" thickBot="1" x14ac:dyDescent="0.3">
      <c r="A3012" s="181"/>
      <c r="B3012" s="179"/>
      <c r="C3012" s="25" t="s">
        <v>1724</v>
      </c>
      <c r="D3012" s="36" t="s">
        <v>588</v>
      </c>
      <c r="E3012" s="26">
        <v>1</v>
      </c>
      <c r="F3012" s="27" t="s">
        <v>727</v>
      </c>
      <c r="G3012" s="19">
        <v>1.7954999999999999</v>
      </c>
      <c r="H3012" s="27" t="s">
        <v>644</v>
      </c>
      <c r="I3012" s="23">
        <f>IF(ISNUMBER(G3012),E3012*G3012,"")</f>
        <v>1.7954999999999999</v>
      </c>
      <c r="J3012" s="24"/>
      <c r="K3012" s="19"/>
      <c r="L3012" s="174">
        <v>0</v>
      </c>
    </row>
    <row r="3013" spans="1:12" ht="26.25" hidden="1" thickBot="1" x14ac:dyDescent="0.3">
      <c r="A3013" s="181"/>
      <c r="B3013" s="179"/>
      <c r="C3013" s="25" t="s">
        <v>1725</v>
      </c>
      <c r="D3013" s="36" t="s">
        <v>588</v>
      </c>
      <c r="E3013" s="26">
        <v>1</v>
      </c>
      <c r="F3013" s="27" t="s">
        <v>727</v>
      </c>
      <c r="G3013" s="19">
        <v>530.56549999999993</v>
      </c>
      <c r="H3013" s="27" t="s">
        <v>1726</v>
      </c>
      <c r="I3013" s="23">
        <f>IF(ISNUMBER(G3013),E3013*G3013,"")</f>
        <v>530.56549999999993</v>
      </c>
      <c r="J3013" s="24"/>
      <c r="K3013" s="19"/>
      <c r="L3013" s="174">
        <v>0</v>
      </c>
    </row>
    <row r="3014" spans="1:12" ht="15.75" hidden="1" thickBot="1" x14ac:dyDescent="0.3">
      <c r="A3014" s="181"/>
      <c r="B3014" s="179"/>
      <c r="C3014" s="25" t="s">
        <v>1727</v>
      </c>
      <c r="D3014" s="36" t="s">
        <v>1629</v>
      </c>
      <c r="E3014" s="26">
        <v>0.1469</v>
      </c>
      <c r="F3014" s="27" t="s">
        <v>727</v>
      </c>
      <c r="G3014" s="19">
        <v>33.667999999999999</v>
      </c>
      <c r="H3014" s="27" t="s">
        <v>525</v>
      </c>
      <c r="I3014" s="23">
        <f>IF(ISNUMBER(G3014),E3014*G3014,"")</f>
        <v>4.9458292000000004</v>
      </c>
      <c r="J3014" s="24"/>
      <c r="K3014" s="19"/>
      <c r="L3014" s="174">
        <v>0</v>
      </c>
    </row>
    <row r="3015" spans="1:12" ht="26.25" hidden="1" thickBot="1" x14ac:dyDescent="0.3">
      <c r="A3015" s="181"/>
      <c r="B3015" s="179"/>
      <c r="C3015" s="25" t="s">
        <v>1713</v>
      </c>
      <c r="D3015" s="36" t="s">
        <v>1366</v>
      </c>
      <c r="E3015" s="26">
        <v>0.78</v>
      </c>
      <c r="F3015" s="27" t="s">
        <v>727</v>
      </c>
      <c r="G3015" s="19">
        <v>18.743500000000001</v>
      </c>
      <c r="H3015" s="27" t="s">
        <v>71</v>
      </c>
      <c r="I3015" s="23">
        <f>IF(ISNUMBER(G3015),E3015*G3015,"")</f>
        <v>14.619930000000002</v>
      </c>
      <c r="J3015" s="24"/>
      <c r="K3015" s="19"/>
      <c r="L3015" s="174">
        <v>0</v>
      </c>
    </row>
    <row r="3016" spans="1:12" ht="15.75" hidden="1" thickBot="1" x14ac:dyDescent="0.3">
      <c r="A3016" s="181"/>
      <c r="B3016" s="179"/>
      <c r="C3016" s="25" t="s">
        <v>1367</v>
      </c>
      <c r="D3016" s="36" t="s">
        <v>1366</v>
      </c>
      <c r="E3016" s="26">
        <v>0.44</v>
      </c>
      <c r="F3016" s="27" t="s">
        <v>727</v>
      </c>
      <c r="G3016" s="19">
        <v>14.325999999999999</v>
      </c>
      <c r="H3016" s="27" t="s">
        <v>39</v>
      </c>
      <c r="I3016" s="23">
        <f>IF(ISNUMBER(G3016),E3016*G3016,"")</f>
        <v>6.3034399999999993</v>
      </c>
      <c r="J3016" s="24"/>
      <c r="K3016" s="19"/>
      <c r="L3016" s="174">
        <v>0</v>
      </c>
    </row>
    <row r="3017" spans="1:12" ht="26.25" hidden="1" thickBot="1" x14ac:dyDescent="0.3">
      <c r="A3017" s="181"/>
      <c r="B3017" s="179"/>
      <c r="C3017" s="25" t="s">
        <v>645</v>
      </c>
      <c r="D3017" s="25" t="s">
        <v>32</v>
      </c>
      <c r="E3017" s="26">
        <v>1</v>
      </c>
      <c r="F3017" s="27" t="s">
        <v>1728</v>
      </c>
      <c r="G3017" s="23" t="s">
        <v>1079</v>
      </c>
      <c r="H3017" s="27" t="s">
        <v>33</v>
      </c>
      <c r="I3017" s="23" t="str">
        <f>IF(ISNUMBER(G3017),E3017*G3017,"")</f>
        <v/>
      </c>
      <c r="J3017" s="24"/>
      <c r="K3017" s="19"/>
      <c r="L3017" s="174">
        <v>0</v>
      </c>
    </row>
    <row r="3018" spans="1:12" ht="15.75" hidden="1" thickBot="1" x14ac:dyDescent="0.3">
      <c r="A3018" s="182"/>
      <c r="B3018" s="183"/>
      <c r="C3018" s="25"/>
      <c r="D3018" s="25"/>
      <c r="E3018" s="26"/>
      <c r="F3018" s="27"/>
      <c r="G3018" s="19" t="s">
        <v>1079</v>
      </c>
      <c r="H3018" s="27"/>
      <c r="I3018" s="23" t="str">
        <f>IF(ISNUMBER(G3018),E3018*G3018,"")</f>
        <v/>
      </c>
      <c r="J3018" s="24"/>
      <c r="K3018" s="19"/>
      <c r="L3018" s="174">
        <v>0</v>
      </c>
    </row>
    <row r="3019" spans="1:12" ht="15.75" hidden="1" thickBot="1" x14ac:dyDescent="0.3">
      <c r="A3019" s="180" t="s">
        <v>1729</v>
      </c>
      <c r="B3019" s="178" t="str">
        <f>INDEX(Orçamentária!A:B,MATCH(Composições!A3019,Orçamentária!A:A,0),2)</f>
        <v>Assento para bacia convencional - Linha Acessibilidade</v>
      </c>
      <c r="C3019" s="30"/>
      <c r="D3019" s="13" t="str">
        <f>TRIM(INDEX(Orçamentária!C:C,MATCH(Composições!A3019,Orçamentária!A:A,0),1))</f>
        <v>un</v>
      </c>
      <c r="E3019" s="14"/>
      <c r="F3019" s="15" t="s">
        <v>714</v>
      </c>
      <c r="G3019" s="31" t="s">
        <v>1079</v>
      </c>
      <c r="H3019" s="16"/>
      <c r="I3019" s="16" t="str">
        <f>IF(ISNUMBER(G3019),E3019*G3019,"")</f>
        <v/>
      </c>
      <c r="J3019" s="17"/>
      <c r="K3019" s="18"/>
      <c r="L3019" s="174">
        <v>0</v>
      </c>
    </row>
    <row r="3020" spans="1:12" ht="15.75" hidden="1" thickBot="1" x14ac:dyDescent="0.3">
      <c r="A3020" s="181"/>
      <c r="B3020" s="179"/>
      <c r="C3020" s="20"/>
      <c r="D3020" s="20"/>
      <c r="E3020" s="21"/>
      <c r="F3020" s="22"/>
      <c r="G3020" s="32" t="s">
        <v>1079</v>
      </c>
      <c r="H3020" s="20"/>
      <c r="I3020" s="23" t="str">
        <f>IF(ISNUMBER(G3020),E3020*G3020,"")</f>
        <v/>
      </c>
      <c r="J3020" s="24"/>
      <c r="K3020" s="19"/>
      <c r="L3020" s="174">
        <v>0</v>
      </c>
    </row>
    <row r="3021" spans="1:12" ht="26.25" hidden="1" thickBot="1" x14ac:dyDescent="0.3">
      <c r="A3021" s="181"/>
      <c r="B3021" s="179"/>
      <c r="C3021" s="25" t="s">
        <v>1730</v>
      </c>
      <c r="D3021" s="36" t="s">
        <v>305</v>
      </c>
      <c r="E3021" s="26">
        <v>1</v>
      </c>
      <c r="F3021" s="27" t="s">
        <v>716</v>
      </c>
      <c r="G3021" s="19" t="s">
        <v>1079</v>
      </c>
      <c r="H3021" s="27" t="s">
        <v>33</v>
      </c>
      <c r="I3021" s="23" t="str">
        <f>IF(ISNUMBER(G3021),E3021*G3021,"")</f>
        <v/>
      </c>
      <c r="J3021" s="28">
        <f>SUM(I3021:I3022)</f>
        <v>1.4325999999999999</v>
      </c>
      <c r="K3021" s="29"/>
      <c r="L3021" s="174">
        <v>0</v>
      </c>
    </row>
    <row r="3022" spans="1:12" ht="15.75" hidden="1" thickBot="1" x14ac:dyDescent="0.3">
      <c r="A3022" s="181"/>
      <c r="B3022" s="179"/>
      <c r="C3022" s="25" t="s">
        <v>1731</v>
      </c>
      <c r="D3022" s="36" t="s">
        <v>21</v>
      </c>
      <c r="E3022" s="26">
        <v>0.1</v>
      </c>
      <c r="F3022" s="27" t="s">
        <v>716</v>
      </c>
      <c r="G3022" s="19">
        <v>14.325999999999999</v>
      </c>
      <c r="H3022" s="27" t="s">
        <v>39</v>
      </c>
      <c r="I3022" s="23">
        <f>IF(ISNUMBER(G3022),E3022*G3022,"")</f>
        <v>1.4325999999999999</v>
      </c>
      <c r="J3022" s="24"/>
      <c r="K3022" s="19"/>
      <c r="L3022" s="174">
        <v>0</v>
      </c>
    </row>
    <row r="3023" spans="1:12" ht="15.75" hidden="1" thickBot="1" x14ac:dyDescent="0.3">
      <c r="A3023" s="182"/>
      <c r="B3023" s="183"/>
      <c r="C3023" s="25"/>
      <c r="D3023" s="25"/>
      <c r="E3023" s="26"/>
      <c r="F3023" s="27"/>
      <c r="G3023" s="19" t="s">
        <v>1079</v>
      </c>
      <c r="H3023" s="27"/>
      <c r="I3023" s="23" t="str">
        <f>IF(ISNUMBER(G3023),E3023*G3023,"")</f>
        <v/>
      </c>
      <c r="J3023" s="24"/>
      <c r="K3023" s="19"/>
      <c r="L3023" s="174">
        <v>0</v>
      </c>
    </row>
    <row r="3024" spans="1:12" ht="15.75" hidden="1" thickBot="1" x14ac:dyDescent="0.3">
      <c r="A3024" s="180" t="s">
        <v>1732</v>
      </c>
      <c r="B3024" s="178" t="str">
        <f>INDEX(Orçamentária!A:B,MATCH(Composições!A3024,Orçamentária!A:A,0),2)</f>
        <v>Base registro de gaveta 1 1/2”</v>
      </c>
      <c r="C3024" s="30"/>
      <c r="D3024" s="13" t="str">
        <f>TRIM(INDEX(Orçamentária!C:C,MATCH(Composições!A3024,Orçamentária!A:A,0),1))</f>
        <v>un</v>
      </c>
      <c r="E3024" s="14"/>
      <c r="F3024" s="15" t="s">
        <v>1733</v>
      </c>
      <c r="G3024" s="31" t="s">
        <v>1079</v>
      </c>
      <c r="H3024" s="16"/>
      <c r="I3024" s="16" t="str">
        <f>IF(ISNUMBER(G3024),E3024*G3024,"")</f>
        <v/>
      </c>
      <c r="J3024" s="17"/>
      <c r="K3024" s="18"/>
      <c r="L3024" s="174">
        <v>0</v>
      </c>
    </row>
    <row r="3025" spans="1:12" ht="15.75" hidden="1" thickBot="1" x14ac:dyDescent="0.3">
      <c r="A3025" s="181"/>
      <c r="B3025" s="179"/>
      <c r="C3025" s="20"/>
      <c r="D3025" s="20"/>
      <c r="E3025" s="21"/>
      <c r="F3025" s="22"/>
      <c r="G3025" s="32" t="s">
        <v>1079</v>
      </c>
      <c r="H3025" s="20"/>
      <c r="I3025" s="23" t="str">
        <f>IF(ISNUMBER(G3025),E3025*G3025,"")</f>
        <v/>
      </c>
      <c r="J3025" s="24"/>
      <c r="K3025" s="19"/>
      <c r="L3025" s="174">
        <v>0</v>
      </c>
    </row>
    <row r="3026" spans="1:12" ht="26.25" hidden="1" thickBot="1" x14ac:dyDescent="0.3">
      <c r="A3026" s="181"/>
      <c r="B3026" s="179"/>
      <c r="C3026" s="25" t="s">
        <v>1734</v>
      </c>
      <c r="D3026" s="36" t="s">
        <v>305</v>
      </c>
      <c r="E3026" s="26">
        <v>1</v>
      </c>
      <c r="F3026" s="27" t="s">
        <v>1735</v>
      </c>
      <c r="G3026" s="19" t="s">
        <v>1079</v>
      </c>
      <c r="H3026" s="27" t="s">
        <v>33</v>
      </c>
      <c r="I3026" s="23" t="str">
        <f>IF(ISNUMBER(G3026),E3026*G3026,"")</f>
        <v/>
      </c>
      <c r="J3026" s="28">
        <f>SUM(I3026:I3029)</f>
        <v>26.647006000000005</v>
      </c>
      <c r="K3026" s="29"/>
      <c r="L3026" s="174">
        <v>0</v>
      </c>
    </row>
    <row r="3027" spans="1:12" ht="15.75" hidden="1" thickBot="1" x14ac:dyDescent="0.3">
      <c r="A3027" s="181"/>
      <c r="B3027" s="179"/>
      <c r="C3027" s="25" t="s">
        <v>689</v>
      </c>
      <c r="D3027" s="36" t="s">
        <v>588</v>
      </c>
      <c r="E3027" s="26">
        <v>1.9E-2</v>
      </c>
      <c r="F3027" s="27" t="s">
        <v>1735</v>
      </c>
      <c r="G3027" s="19">
        <v>10.677999999999999</v>
      </c>
      <c r="H3027" s="27" t="s">
        <v>690</v>
      </c>
      <c r="I3027" s="23">
        <f>IF(ISNUMBER(G3027),E3027*G3027,"")</f>
        <v>0.20288199999999998</v>
      </c>
      <c r="J3027" s="24"/>
      <c r="K3027" s="19"/>
      <c r="L3027" s="174">
        <v>0</v>
      </c>
    </row>
    <row r="3028" spans="1:12" ht="15.75" hidden="1" thickBot="1" x14ac:dyDescent="0.3">
      <c r="A3028" s="181"/>
      <c r="B3028" s="179"/>
      <c r="C3028" s="25" t="s">
        <v>70</v>
      </c>
      <c r="D3028" s="36" t="s">
        <v>21</v>
      </c>
      <c r="E3028" s="26">
        <v>0.78900000000000003</v>
      </c>
      <c r="F3028" s="27" t="s">
        <v>1735</v>
      </c>
      <c r="G3028" s="19">
        <v>18.743500000000001</v>
      </c>
      <c r="H3028" s="27" t="s">
        <v>71</v>
      </c>
      <c r="I3028" s="23">
        <f>IF(ISNUMBER(G3028),E3028*G3028,"")</f>
        <v>14.788621500000001</v>
      </c>
      <c r="J3028" s="24"/>
      <c r="K3028" s="19"/>
      <c r="L3028" s="174">
        <v>0</v>
      </c>
    </row>
    <row r="3029" spans="1:12" ht="26.25" hidden="1" thickBot="1" x14ac:dyDescent="0.3">
      <c r="A3029" s="181"/>
      <c r="B3029" s="179"/>
      <c r="C3029" s="25" t="s">
        <v>1712</v>
      </c>
      <c r="D3029" s="25" t="s">
        <v>21</v>
      </c>
      <c r="E3029" s="26">
        <v>0.78900000000000003</v>
      </c>
      <c r="F3029" s="27" t="s">
        <v>1735</v>
      </c>
      <c r="G3029" s="19">
        <v>14.772500000000001</v>
      </c>
      <c r="H3029" s="27" t="s">
        <v>226</v>
      </c>
      <c r="I3029" s="23">
        <f>IF(ISNUMBER(G3029),E3029*G3029,"")</f>
        <v>11.655502500000001</v>
      </c>
      <c r="J3029" s="24"/>
      <c r="K3029" s="19"/>
      <c r="L3029" s="174">
        <v>0</v>
      </c>
    </row>
    <row r="3030" spans="1:12" ht="15.75" hidden="1" thickBot="1" x14ac:dyDescent="0.3">
      <c r="A3030" s="182"/>
      <c r="B3030" s="183"/>
      <c r="C3030" s="25"/>
      <c r="D3030" s="25"/>
      <c r="E3030" s="26"/>
      <c r="F3030" s="27"/>
      <c r="G3030" s="19" t="s">
        <v>1079</v>
      </c>
      <c r="H3030" s="27"/>
      <c r="I3030" s="23" t="str">
        <f>IF(ISNUMBER(G3030),E3030*G3030,"")</f>
        <v/>
      </c>
      <c r="J3030" s="24"/>
      <c r="K3030" s="19"/>
      <c r="L3030" s="174">
        <v>0</v>
      </c>
    </row>
    <row r="3031" spans="1:12" ht="15.75" hidden="1" thickBot="1" x14ac:dyDescent="0.3">
      <c r="A3031" s="180" t="s">
        <v>1736</v>
      </c>
      <c r="B3031" s="178" t="str">
        <f>INDEX(Orçamentária!A:B,MATCH(Composições!A3031,Orçamentária!A:A,0),2)</f>
        <v>Condutor 25mm²</v>
      </c>
      <c r="C3031" s="30"/>
      <c r="D3031" s="13" t="str">
        <f>TRIM(INDEX(Orçamentária!C:C,MATCH(Composições!A3031,Orçamentária!A:A,0),1))</f>
        <v>m</v>
      </c>
      <c r="E3031" s="14"/>
      <c r="F3031" s="15" t="s">
        <v>1737</v>
      </c>
      <c r="G3031" s="31" t="s">
        <v>1079</v>
      </c>
      <c r="H3031" s="16"/>
      <c r="I3031" s="16" t="str">
        <f>IF(ISNUMBER(G3031),E3031*G3031,"")</f>
        <v/>
      </c>
      <c r="J3031" s="17"/>
      <c r="K3031" s="18"/>
      <c r="L3031" s="174">
        <v>0</v>
      </c>
    </row>
    <row r="3032" spans="1:12" ht="15.75" hidden="1" thickBot="1" x14ac:dyDescent="0.3">
      <c r="A3032" s="181"/>
      <c r="B3032" s="179"/>
      <c r="C3032" s="20"/>
      <c r="D3032" s="20"/>
      <c r="E3032" s="21"/>
      <c r="F3032" s="22"/>
      <c r="G3032" s="32" t="s">
        <v>1079</v>
      </c>
      <c r="H3032" s="20"/>
      <c r="I3032" s="23" t="str">
        <f>IF(ISNUMBER(G3032),E3032*G3032,"")</f>
        <v/>
      </c>
      <c r="J3032" s="24"/>
      <c r="K3032" s="19"/>
      <c r="L3032" s="174">
        <v>0</v>
      </c>
    </row>
    <row r="3033" spans="1:12" ht="15.75" hidden="1" thickBot="1" x14ac:dyDescent="0.3">
      <c r="A3033" s="181"/>
      <c r="B3033" s="179"/>
      <c r="C3033" s="25" t="s">
        <v>1738</v>
      </c>
      <c r="D3033" s="25" t="s">
        <v>184</v>
      </c>
      <c r="E3033" s="26">
        <v>1.0149999999999999</v>
      </c>
      <c r="F3033" s="27" t="s">
        <v>1739</v>
      </c>
      <c r="G3033" s="19">
        <v>0</v>
      </c>
      <c r="H3033" s="27" t="s">
        <v>1740</v>
      </c>
      <c r="I3033" s="23">
        <f>IF(ISNUMBER(G3033),E3033*G3033,"")</f>
        <v>0</v>
      </c>
      <c r="J3033" s="28">
        <f>SUM(I3033:I3036)</f>
        <v>2.2429119999999996</v>
      </c>
      <c r="K3033" s="29"/>
      <c r="L3033" s="174">
        <v>0</v>
      </c>
    </row>
    <row r="3034" spans="1:12" ht="15.75" hidden="1" thickBot="1" x14ac:dyDescent="0.3">
      <c r="A3034" s="181"/>
      <c r="B3034" s="179"/>
      <c r="C3034" s="25" t="s">
        <v>1129</v>
      </c>
      <c r="D3034" s="36" t="s">
        <v>588</v>
      </c>
      <c r="E3034" s="26">
        <v>8.9999999999999993E-3</v>
      </c>
      <c r="F3034" s="27" t="s">
        <v>1739</v>
      </c>
      <c r="G3034" s="19">
        <v>3.6479999999999997</v>
      </c>
      <c r="H3034" s="27" t="s">
        <v>1130</v>
      </c>
      <c r="I3034" s="23">
        <f>IF(ISNUMBER(G3034),E3034*G3034,"")</f>
        <v>3.2831999999999993E-2</v>
      </c>
      <c r="J3034" s="24"/>
      <c r="K3034" s="19"/>
      <c r="L3034" s="174">
        <v>0</v>
      </c>
    </row>
    <row r="3035" spans="1:12" ht="15.75" hidden="1" thickBot="1" x14ac:dyDescent="0.3">
      <c r="A3035" s="181"/>
      <c r="B3035" s="179"/>
      <c r="C3035" s="25" t="s">
        <v>144</v>
      </c>
      <c r="D3035" s="25" t="s">
        <v>21</v>
      </c>
      <c r="E3035" s="26">
        <v>6.4000000000000001E-2</v>
      </c>
      <c r="F3035" s="27" t="s">
        <v>1739</v>
      </c>
      <c r="G3035" s="19">
        <v>15.218999999999999</v>
      </c>
      <c r="H3035" s="27" t="s">
        <v>145</v>
      </c>
      <c r="I3035" s="23">
        <f>IF(ISNUMBER(G3035),E3035*G3035,"")</f>
        <v>0.97401599999999999</v>
      </c>
      <c r="J3035" s="24"/>
      <c r="K3035" s="19"/>
      <c r="L3035" s="174">
        <v>0</v>
      </c>
    </row>
    <row r="3036" spans="1:12" ht="15.75" hidden="1" thickBot="1" x14ac:dyDescent="0.3">
      <c r="A3036" s="181"/>
      <c r="B3036" s="179"/>
      <c r="C3036" s="25" t="s">
        <v>54</v>
      </c>
      <c r="D3036" s="25" t="s">
        <v>21</v>
      </c>
      <c r="E3036" s="26">
        <v>6.4000000000000001E-2</v>
      </c>
      <c r="F3036" s="27" t="s">
        <v>1739</v>
      </c>
      <c r="G3036" s="19">
        <v>19.313499999999998</v>
      </c>
      <c r="H3036" s="27" t="s">
        <v>55</v>
      </c>
      <c r="I3036" s="23">
        <f>IF(ISNUMBER(G3036),E3036*G3036,"")</f>
        <v>1.2360639999999998</v>
      </c>
      <c r="J3036" s="24"/>
      <c r="K3036" s="19"/>
      <c r="L3036" s="174">
        <v>0</v>
      </c>
    </row>
    <row r="3037" spans="1:12" ht="15.75" hidden="1" thickBot="1" x14ac:dyDescent="0.3">
      <c r="A3037" s="182"/>
      <c r="B3037" s="183"/>
      <c r="C3037" s="25"/>
      <c r="D3037" s="25"/>
      <c r="E3037" s="26"/>
      <c r="F3037" s="27"/>
      <c r="G3037" s="19" t="s">
        <v>1079</v>
      </c>
      <c r="H3037" s="27"/>
      <c r="I3037" s="23" t="str">
        <f>IF(ISNUMBER(G3037),E3037*G3037,"")</f>
        <v/>
      </c>
      <c r="J3037" s="24"/>
      <c r="K3037" s="19"/>
      <c r="L3037" s="174">
        <v>0</v>
      </c>
    </row>
    <row r="3038" spans="1:12" ht="15.75" hidden="1" thickBot="1" x14ac:dyDescent="0.3">
      <c r="A3038" s="180" t="s">
        <v>1741</v>
      </c>
      <c r="B3038" s="178" t="str">
        <f>INDEX(Orçamentária!A:B,MATCH(Composições!A3038,Orçamentária!A:A,0),2)</f>
        <v>Condutor 35mm²</v>
      </c>
      <c r="C3038" s="30"/>
      <c r="D3038" s="13" t="str">
        <f>TRIM(INDEX(Orçamentária!C:C,MATCH(Composições!A3038,Orçamentária!A:A,0),1))</f>
        <v>m</v>
      </c>
      <c r="E3038" s="14"/>
      <c r="F3038" s="15" t="s">
        <v>1742</v>
      </c>
      <c r="G3038" s="31" t="s">
        <v>1079</v>
      </c>
      <c r="H3038" s="16"/>
      <c r="I3038" s="16" t="str">
        <f>IF(ISNUMBER(G3038),E3038*G3038,"")</f>
        <v/>
      </c>
      <c r="J3038" s="17"/>
      <c r="K3038" s="18"/>
      <c r="L3038" s="174">
        <v>0</v>
      </c>
    </row>
    <row r="3039" spans="1:12" ht="15.75" hidden="1" thickBot="1" x14ac:dyDescent="0.3">
      <c r="A3039" s="181"/>
      <c r="B3039" s="179"/>
      <c r="C3039" s="20"/>
      <c r="D3039" s="20"/>
      <c r="E3039" s="21"/>
      <c r="F3039" s="22"/>
      <c r="G3039" s="32" t="s">
        <v>1079</v>
      </c>
      <c r="H3039" s="20"/>
      <c r="I3039" s="23" t="str">
        <f>IF(ISNUMBER(G3039),E3039*G3039,"")</f>
        <v/>
      </c>
      <c r="J3039" s="24"/>
      <c r="K3039" s="19"/>
      <c r="L3039" s="174">
        <v>0</v>
      </c>
    </row>
    <row r="3040" spans="1:12" ht="15.75" hidden="1" thickBot="1" x14ac:dyDescent="0.3">
      <c r="A3040" s="181"/>
      <c r="B3040" s="179"/>
      <c r="C3040" s="25" t="s">
        <v>1743</v>
      </c>
      <c r="D3040" s="25" t="s">
        <v>184</v>
      </c>
      <c r="E3040" s="26">
        <v>1.0149999999999999</v>
      </c>
      <c r="F3040" s="27" t="s">
        <v>1744</v>
      </c>
      <c r="G3040" s="19">
        <v>0</v>
      </c>
      <c r="H3040" s="27" t="s">
        <v>1745</v>
      </c>
      <c r="I3040" s="23">
        <f>IF(ISNUMBER(G3040),E3040*G3040,"")</f>
        <v>0</v>
      </c>
      <c r="J3040" s="28">
        <f>SUM(I3040:I3043)</f>
        <v>2.5537044999999994</v>
      </c>
      <c r="K3040" s="29"/>
      <c r="L3040" s="174">
        <v>0</v>
      </c>
    </row>
    <row r="3041" spans="1:12" ht="15.75" hidden="1" thickBot="1" x14ac:dyDescent="0.3">
      <c r="A3041" s="181"/>
      <c r="B3041" s="179"/>
      <c r="C3041" s="25" t="s">
        <v>1129</v>
      </c>
      <c r="D3041" s="36" t="s">
        <v>588</v>
      </c>
      <c r="E3041" s="26">
        <v>8.9999999999999993E-3</v>
      </c>
      <c r="F3041" s="27" t="s">
        <v>1744</v>
      </c>
      <c r="G3041" s="19">
        <v>3.6479999999999997</v>
      </c>
      <c r="H3041" s="27" t="s">
        <v>1130</v>
      </c>
      <c r="I3041" s="23">
        <f>IF(ISNUMBER(G3041),E3041*G3041,"")</f>
        <v>3.2831999999999993E-2</v>
      </c>
      <c r="J3041" s="24"/>
      <c r="K3041" s="19"/>
      <c r="L3041" s="174">
        <v>0</v>
      </c>
    </row>
    <row r="3042" spans="1:12" ht="15.75" hidden="1" thickBot="1" x14ac:dyDescent="0.3">
      <c r="A3042" s="181"/>
      <c r="B3042" s="179"/>
      <c r="C3042" s="25" t="s">
        <v>144</v>
      </c>
      <c r="D3042" s="25" t="s">
        <v>21</v>
      </c>
      <c r="E3042" s="26">
        <v>7.2999999999999995E-2</v>
      </c>
      <c r="F3042" s="27" t="s">
        <v>1744</v>
      </c>
      <c r="G3042" s="19">
        <v>15.218999999999999</v>
      </c>
      <c r="H3042" s="27" t="s">
        <v>145</v>
      </c>
      <c r="I3042" s="23">
        <f>IF(ISNUMBER(G3042),E3042*G3042,"")</f>
        <v>1.1109869999999999</v>
      </c>
      <c r="J3042" s="24"/>
      <c r="K3042" s="19"/>
      <c r="L3042" s="174">
        <v>0</v>
      </c>
    </row>
    <row r="3043" spans="1:12" ht="15.75" hidden="1" thickBot="1" x14ac:dyDescent="0.3">
      <c r="A3043" s="181"/>
      <c r="B3043" s="179"/>
      <c r="C3043" s="25" t="s">
        <v>54</v>
      </c>
      <c r="D3043" s="25" t="s">
        <v>21</v>
      </c>
      <c r="E3043" s="26">
        <v>7.2999999999999995E-2</v>
      </c>
      <c r="F3043" s="27" t="s">
        <v>1744</v>
      </c>
      <c r="G3043" s="19">
        <v>19.313499999999998</v>
      </c>
      <c r="H3043" s="27" t="s">
        <v>55</v>
      </c>
      <c r="I3043" s="23">
        <f>IF(ISNUMBER(G3043),E3043*G3043,"")</f>
        <v>1.4098854999999997</v>
      </c>
      <c r="J3043" s="24"/>
      <c r="K3043" s="19"/>
      <c r="L3043" s="174">
        <v>0</v>
      </c>
    </row>
    <row r="3044" spans="1:12" ht="15.75" hidden="1" thickBot="1" x14ac:dyDescent="0.3">
      <c r="A3044" s="182"/>
      <c r="B3044" s="183"/>
      <c r="C3044" s="25"/>
      <c r="D3044" s="25"/>
      <c r="E3044" s="26"/>
      <c r="F3044" s="27"/>
      <c r="G3044" s="19" t="s">
        <v>1079</v>
      </c>
      <c r="H3044" s="27"/>
      <c r="I3044" s="23" t="str">
        <f>IF(ISNUMBER(G3044),E3044*G3044,"")</f>
        <v/>
      </c>
      <c r="J3044" s="24"/>
      <c r="K3044" s="19"/>
      <c r="L3044" s="174">
        <v>0</v>
      </c>
    </row>
    <row r="3045" spans="1:12" ht="15.75" hidden="1" thickBot="1" x14ac:dyDescent="0.3">
      <c r="A3045" s="180" t="s">
        <v>1746</v>
      </c>
      <c r="B3045" s="178" t="str">
        <f>INDEX(Orçamentária!A:B,MATCH(Composições!A3045,Orçamentária!A:A,0),2)</f>
        <v>Condutor 50mm²</v>
      </c>
      <c r="C3045" s="30"/>
      <c r="D3045" s="13" t="str">
        <f>TRIM(INDEX(Orçamentária!C:C,MATCH(Composições!A3045,Orçamentária!A:A,0),1))</f>
        <v>m</v>
      </c>
      <c r="E3045" s="14"/>
      <c r="F3045" s="15" t="s">
        <v>1747</v>
      </c>
      <c r="G3045" s="31" t="s">
        <v>1079</v>
      </c>
      <c r="H3045" s="16"/>
      <c r="I3045" s="16" t="str">
        <f>IF(ISNUMBER(G3045),E3045*G3045,"")</f>
        <v/>
      </c>
      <c r="J3045" s="17"/>
      <c r="K3045" s="18"/>
      <c r="L3045" s="174">
        <v>0</v>
      </c>
    </row>
    <row r="3046" spans="1:12" ht="15.75" hidden="1" thickBot="1" x14ac:dyDescent="0.3">
      <c r="A3046" s="181"/>
      <c r="B3046" s="179"/>
      <c r="C3046" s="20"/>
      <c r="D3046" s="20"/>
      <c r="E3046" s="21"/>
      <c r="F3046" s="22"/>
      <c r="G3046" s="32" t="s">
        <v>1079</v>
      </c>
      <c r="H3046" s="20"/>
      <c r="I3046" s="23" t="str">
        <f>IF(ISNUMBER(G3046),E3046*G3046,"")</f>
        <v/>
      </c>
      <c r="J3046" s="24"/>
      <c r="K3046" s="19"/>
      <c r="L3046" s="174">
        <v>0</v>
      </c>
    </row>
    <row r="3047" spans="1:12" ht="15.75" hidden="1" thickBot="1" x14ac:dyDescent="0.3">
      <c r="A3047" s="181"/>
      <c r="B3047" s="179"/>
      <c r="C3047" s="25" t="s">
        <v>1748</v>
      </c>
      <c r="D3047" s="25" t="s">
        <v>184</v>
      </c>
      <c r="E3047" s="26">
        <v>1.0149999999999999</v>
      </c>
      <c r="F3047" s="27" t="s">
        <v>1749</v>
      </c>
      <c r="G3047" s="19">
        <v>0</v>
      </c>
      <c r="H3047" s="27" t="s">
        <v>1750</v>
      </c>
      <c r="I3047" s="23">
        <f>IF(ISNUMBER(G3047),E3047*G3047,"")</f>
        <v>0</v>
      </c>
      <c r="J3047" s="28">
        <f>SUM(I3047:I3050)</f>
        <v>3.0371594999999996</v>
      </c>
      <c r="K3047" s="29"/>
      <c r="L3047" s="174">
        <v>0</v>
      </c>
    </row>
    <row r="3048" spans="1:12" ht="15.75" hidden="1" thickBot="1" x14ac:dyDescent="0.3">
      <c r="A3048" s="181"/>
      <c r="B3048" s="179"/>
      <c r="C3048" s="25" t="s">
        <v>1129</v>
      </c>
      <c r="D3048" s="36" t="s">
        <v>588</v>
      </c>
      <c r="E3048" s="26">
        <v>8.9999999999999993E-3</v>
      </c>
      <c r="F3048" s="27" t="s">
        <v>1749</v>
      </c>
      <c r="G3048" s="19">
        <v>3.6479999999999997</v>
      </c>
      <c r="H3048" s="27" t="s">
        <v>1130</v>
      </c>
      <c r="I3048" s="23">
        <f>IF(ISNUMBER(G3048),E3048*G3048,"")</f>
        <v>3.2831999999999993E-2</v>
      </c>
      <c r="J3048" s="24"/>
      <c r="K3048" s="19"/>
      <c r="L3048" s="174">
        <v>0</v>
      </c>
    </row>
    <row r="3049" spans="1:12" ht="15.75" hidden="1" thickBot="1" x14ac:dyDescent="0.3">
      <c r="A3049" s="181"/>
      <c r="B3049" s="179"/>
      <c r="C3049" s="25" t="s">
        <v>144</v>
      </c>
      <c r="D3049" s="25" t="s">
        <v>21</v>
      </c>
      <c r="E3049" s="26">
        <v>8.6999999999999994E-2</v>
      </c>
      <c r="F3049" s="27" t="s">
        <v>1749</v>
      </c>
      <c r="G3049" s="19">
        <v>15.218999999999999</v>
      </c>
      <c r="H3049" s="27" t="s">
        <v>145</v>
      </c>
      <c r="I3049" s="23">
        <f>IF(ISNUMBER(G3049),E3049*G3049,"")</f>
        <v>1.3240529999999999</v>
      </c>
      <c r="J3049" s="24"/>
      <c r="K3049" s="19"/>
      <c r="L3049" s="174">
        <v>0</v>
      </c>
    </row>
    <row r="3050" spans="1:12" ht="15.75" hidden="1" thickBot="1" x14ac:dyDescent="0.3">
      <c r="A3050" s="181"/>
      <c r="B3050" s="179"/>
      <c r="C3050" s="25" t="s">
        <v>54</v>
      </c>
      <c r="D3050" s="25" t="s">
        <v>21</v>
      </c>
      <c r="E3050" s="26">
        <v>8.6999999999999994E-2</v>
      </c>
      <c r="F3050" s="27" t="s">
        <v>1749</v>
      </c>
      <c r="G3050" s="19">
        <v>19.313499999999998</v>
      </c>
      <c r="H3050" s="27" t="s">
        <v>55</v>
      </c>
      <c r="I3050" s="23">
        <f>IF(ISNUMBER(G3050),E3050*G3050,"")</f>
        <v>1.6802744999999997</v>
      </c>
      <c r="J3050" s="24"/>
      <c r="K3050" s="19"/>
      <c r="L3050" s="174">
        <v>0</v>
      </c>
    </row>
    <row r="3051" spans="1:12" ht="15.75" hidden="1" thickBot="1" x14ac:dyDescent="0.3">
      <c r="A3051" s="182"/>
      <c r="B3051" s="183"/>
      <c r="C3051" s="25"/>
      <c r="D3051" s="25"/>
      <c r="E3051" s="26"/>
      <c r="F3051" s="27"/>
      <c r="G3051" s="19" t="s">
        <v>1079</v>
      </c>
      <c r="H3051" s="27"/>
      <c r="I3051" s="23" t="str">
        <f>IF(ISNUMBER(G3051),E3051*G3051,"")</f>
        <v/>
      </c>
      <c r="J3051" s="24"/>
      <c r="K3051" s="19"/>
      <c r="L3051" s="174">
        <v>0</v>
      </c>
    </row>
    <row r="3052" spans="1:12" ht="15.75" hidden="1" thickBot="1" x14ac:dyDescent="0.3">
      <c r="A3052" s="180" t="s">
        <v>1751</v>
      </c>
      <c r="B3052" s="178" t="str">
        <f>INDEX(Orçamentária!A:B,MATCH(Composições!A3052,Orçamentária!A:A,0),2)</f>
        <v>Condutor 70mm²</v>
      </c>
      <c r="C3052" s="30"/>
      <c r="D3052" s="13" t="str">
        <f>TRIM(INDEX(Orçamentária!C:C,MATCH(Composições!A3052,Orçamentária!A:A,0),1))</f>
        <v>m</v>
      </c>
      <c r="E3052" s="14"/>
      <c r="F3052" s="15" t="s">
        <v>1752</v>
      </c>
      <c r="G3052" s="31" t="s">
        <v>1079</v>
      </c>
      <c r="H3052" s="16"/>
      <c r="I3052" s="16" t="str">
        <f>IF(ISNUMBER(G3052),E3052*G3052,"")</f>
        <v/>
      </c>
      <c r="J3052" s="17"/>
      <c r="K3052" s="18"/>
      <c r="L3052" s="174">
        <v>0</v>
      </c>
    </row>
    <row r="3053" spans="1:12" ht="15.75" hidden="1" thickBot="1" x14ac:dyDescent="0.3">
      <c r="A3053" s="181"/>
      <c r="B3053" s="179"/>
      <c r="C3053" s="20"/>
      <c r="D3053" s="20"/>
      <c r="E3053" s="21"/>
      <c r="F3053" s="22"/>
      <c r="G3053" s="32" t="s">
        <v>1079</v>
      </c>
      <c r="H3053" s="20"/>
      <c r="I3053" s="23" t="str">
        <f>IF(ISNUMBER(G3053),E3053*G3053,"")</f>
        <v/>
      </c>
      <c r="J3053" s="24"/>
      <c r="K3053" s="19"/>
      <c r="L3053" s="174">
        <v>0</v>
      </c>
    </row>
    <row r="3054" spans="1:12" ht="15.75" hidden="1" thickBot="1" x14ac:dyDescent="0.3">
      <c r="A3054" s="181"/>
      <c r="B3054" s="179"/>
      <c r="C3054" s="25" t="s">
        <v>1753</v>
      </c>
      <c r="D3054" s="25" t="s">
        <v>184</v>
      </c>
      <c r="E3054" s="26">
        <v>1.0149999999999999</v>
      </c>
      <c r="F3054" s="27" t="s">
        <v>1754</v>
      </c>
      <c r="G3054" s="19">
        <v>0</v>
      </c>
      <c r="H3054" s="27" t="s">
        <v>1755</v>
      </c>
      <c r="I3054" s="23">
        <f>IF(ISNUMBER(G3054),E3054*G3054,"")</f>
        <v>0</v>
      </c>
      <c r="J3054" s="28">
        <f>SUM(I3054:I3057)</f>
        <v>3.6587444999999992</v>
      </c>
      <c r="K3054" s="29"/>
      <c r="L3054" s="174">
        <v>0</v>
      </c>
    </row>
    <row r="3055" spans="1:12" ht="15.75" hidden="1" thickBot="1" x14ac:dyDescent="0.3">
      <c r="A3055" s="181"/>
      <c r="B3055" s="179"/>
      <c r="C3055" s="25" t="s">
        <v>1129</v>
      </c>
      <c r="D3055" s="36" t="s">
        <v>588</v>
      </c>
      <c r="E3055" s="26">
        <v>8.9999999999999993E-3</v>
      </c>
      <c r="F3055" s="27" t="s">
        <v>1754</v>
      </c>
      <c r="G3055" s="19">
        <v>3.6479999999999997</v>
      </c>
      <c r="H3055" s="27" t="s">
        <v>1130</v>
      </c>
      <c r="I3055" s="23">
        <f>IF(ISNUMBER(G3055),E3055*G3055,"")</f>
        <v>3.2831999999999993E-2</v>
      </c>
      <c r="J3055" s="24"/>
      <c r="K3055" s="19"/>
      <c r="L3055" s="174">
        <v>0</v>
      </c>
    </row>
    <row r="3056" spans="1:12" ht="15.75" hidden="1" thickBot="1" x14ac:dyDescent="0.3">
      <c r="A3056" s="181"/>
      <c r="B3056" s="179"/>
      <c r="C3056" s="25" t="s">
        <v>144</v>
      </c>
      <c r="D3056" s="25" t="s">
        <v>21</v>
      </c>
      <c r="E3056" s="26">
        <v>0.105</v>
      </c>
      <c r="F3056" s="27" t="s">
        <v>1754</v>
      </c>
      <c r="G3056" s="19">
        <v>15.218999999999999</v>
      </c>
      <c r="H3056" s="27" t="s">
        <v>145</v>
      </c>
      <c r="I3056" s="23">
        <f>IF(ISNUMBER(G3056),E3056*G3056,"")</f>
        <v>1.5979949999999998</v>
      </c>
      <c r="J3056" s="24"/>
      <c r="K3056" s="19"/>
      <c r="L3056" s="174">
        <v>0</v>
      </c>
    </row>
    <row r="3057" spans="1:12" ht="15.75" hidden="1" thickBot="1" x14ac:dyDescent="0.3">
      <c r="A3057" s="181"/>
      <c r="B3057" s="179"/>
      <c r="C3057" s="25" t="s">
        <v>54</v>
      </c>
      <c r="D3057" s="25" t="s">
        <v>21</v>
      </c>
      <c r="E3057" s="26">
        <v>0.105</v>
      </c>
      <c r="F3057" s="27" t="s">
        <v>1754</v>
      </c>
      <c r="G3057" s="19">
        <v>19.313499999999998</v>
      </c>
      <c r="H3057" s="27" t="s">
        <v>55</v>
      </c>
      <c r="I3057" s="23">
        <f>IF(ISNUMBER(G3057),E3057*G3057,"")</f>
        <v>2.0279174999999996</v>
      </c>
      <c r="J3057" s="24"/>
      <c r="K3057" s="19"/>
      <c r="L3057" s="174">
        <v>0</v>
      </c>
    </row>
    <row r="3058" spans="1:12" ht="15.75" hidden="1" thickBot="1" x14ac:dyDescent="0.3">
      <c r="A3058" s="182"/>
      <c r="B3058" s="183"/>
      <c r="C3058" s="25"/>
      <c r="D3058" s="25"/>
      <c r="E3058" s="26"/>
      <c r="F3058" s="27"/>
      <c r="G3058" s="19" t="s">
        <v>1079</v>
      </c>
      <c r="H3058" s="27"/>
      <c r="I3058" s="23" t="str">
        <f>IF(ISNUMBER(G3058),E3058*G3058,"")</f>
        <v/>
      </c>
      <c r="J3058" s="24"/>
      <c r="K3058" s="19"/>
      <c r="L3058" s="174">
        <v>0</v>
      </c>
    </row>
    <row r="3059" spans="1:12" ht="15.75" hidden="1" thickBot="1" x14ac:dyDescent="0.3">
      <c r="A3059" s="180" t="s">
        <v>1756</v>
      </c>
      <c r="B3059" s="178" t="str">
        <f>INDEX(Orçamentária!A:B,MATCH(Composições!A3059,Orçamentária!A:A,0),2)</f>
        <v>Condutor 95mm²</v>
      </c>
      <c r="C3059" s="30"/>
      <c r="D3059" s="13" t="str">
        <f>TRIM(INDEX(Orçamentária!C:C,MATCH(Composições!A3059,Orçamentária!A:A,0),1))</f>
        <v>m</v>
      </c>
      <c r="E3059" s="14"/>
      <c r="F3059" s="15" t="s">
        <v>1757</v>
      </c>
      <c r="G3059" s="31" t="s">
        <v>1079</v>
      </c>
      <c r="H3059" s="16"/>
      <c r="I3059" s="16" t="str">
        <f>IF(ISNUMBER(G3059),E3059*G3059,"")</f>
        <v/>
      </c>
      <c r="J3059" s="17"/>
      <c r="K3059" s="18"/>
      <c r="L3059" s="174">
        <v>0</v>
      </c>
    </row>
    <row r="3060" spans="1:12" ht="15.75" hidden="1" thickBot="1" x14ac:dyDescent="0.3">
      <c r="A3060" s="181"/>
      <c r="B3060" s="179"/>
      <c r="C3060" s="20"/>
      <c r="D3060" s="20"/>
      <c r="E3060" s="21"/>
      <c r="F3060" s="22"/>
      <c r="G3060" s="32" t="s">
        <v>1079</v>
      </c>
      <c r="H3060" s="20"/>
      <c r="I3060" s="23" t="str">
        <f>IF(ISNUMBER(G3060),E3060*G3060,"")</f>
        <v/>
      </c>
      <c r="J3060" s="24"/>
      <c r="K3060" s="19"/>
      <c r="L3060" s="174">
        <v>0</v>
      </c>
    </row>
    <row r="3061" spans="1:12" ht="15.75" hidden="1" thickBot="1" x14ac:dyDescent="0.3">
      <c r="A3061" s="181"/>
      <c r="B3061" s="179"/>
      <c r="C3061" s="25" t="s">
        <v>1758</v>
      </c>
      <c r="D3061" s="25" t="s">
        <v>184</v>
      </c>
      <c r="E3061" s="26">
        <v>1.0149999999999999</v>
      </c>
      <c r="F3061" s="27" t="s">
        <v>1759</v>
      </c>
      <c r="G3061" s="19">
        <v>0</v>
      </c>
      <c r="H3061" s="27" t="s">
        <v>1760</v>
      </c>
      <c r="I3061" s="23">
        <f>IF(ISNUMBER(G3061),E3061*G3061,"")</f>
        <v>0</v>
      </c>
      <c r="J3061" s="28">
        <f>SUM(I3061:I3064)</f>
        <v>4.4529920000000001</v>
      </c>
      <c r="K3061" s="29"/>
      <c r="L3061" s="174">
        <v>0</v>
      </c>
    </row>
    <row r="3062" spans="1:12" ht="15.75" hidden="1" thickBot="1" x14ac:dyDescent="0.3">
      <c r="A3062" s="181"/>
      <c r="B3062" s="179"/>
      <c r="C3062" s="25" t="s">
        <v>1129</v>
      </c>
      <c r="D3062" s="36" t="s">
        <v>588</v>
      </c>
      <c r="E3062" s="26">
        <v>8.9999999999999993E-3</v>
      </c>
      <c r="F3062" s="27" t="s">
        <v>1759</v>
      </c>
      <c r="G3062" s="19">
        <v>3.6479999999999997</v>
      </c>
      <c r="H3062" s="27" t="s">
        <v>1130</v>
      </c>
      <c r="I3062" s="23">
        <f>IF(ISNUMBER(G3062),E3062*G3062,"")</f>
        <v>3.2831999999999993E-2</v>
      </c>
      <c r="J3062" s="24"/>
      <c r="K3062" s="19"/>
      <c r="L3062" s="174">
        <v>0</v>
      </c>
    </row>
    <row r="3063" spans="1:12" ht="15.75" hidden="1" thickBot="1" x14ac:dyDescent="0.3">
      <c r="A3063" s="181"/>
      <c r="B3063" s="179"/>
      <c r="C3063" s="25" t="s">
        <v>144</v>
      </c>
      <c r="D3063" s="25" t="s">
        <v>21</v>
      </c>
      <c r="E3063" s="26">
        <v>0.128</v>
      </c>
      <c r="F3063" s="27" t="s">
        <v>1759</v>
      </c>
      <c r="G3063" s="19">
        <v>15.218999999999999</v>
      </c>
      <c r="H3063" s="27" t="s">
        <v>145</v>
      </c>
      <c r="I3063" s="23">
        <f>IF(ISNUMBER(G3063),E3063*G3063,"")</f>
        <v>1.948032</v>
      </c>
      <c r="J3063" s="24"/>
      <c r="K3063" s="19"/>
      <c r="L3063" s="174">
        <v>0</v>
      </c>
    </row>
    <row r="3064" spans="1:12" ht="15.75" hidden="1" thickBot="1" x14ac:dyDescent="0.3">
      <c r="A3064" s="181"/>
      <c r="B3064" s="179"/>
      <c r="C3064" s="25" t="s">
        <v>54</v>
      </c>
      <c r="D3064" s="25" t="s">
        <v>21</v>
      </c>
      <c r="E3064" s="26">
        <v>0.128</v>
      </c>
      <c r="F3064" s="27" t="s">
        <v>1759</v>
      </c>
      <c r="G3064" s="19">
        <v>19.313499999999998</v>
      </c>
      <c r="H3064" s="27" t="s">
        <v>55</v>
      </c>
      <c r="I3064" s="23">
        <f>IF(ISNUMBER(G3064),E3064*G3064,"")</f>
        <v>2.4721279999999997</v>
      </c>
      <c r="J3064" s="24"/>
      <c r="K3064" s="19"/>
      <c r="L3064" s="174">
        <v>0</v>
      </c>
    </row>
    <row r="3065" spans="1:12" ht="15.75" hidden="1" thickBot="1" x14ac:dyDescent="0.3">
      <c r="A3065" s="182"/>
      <c r="B3065" s="183"/>
      <c r="C3065" s="25"/>
      <c r="D3065" s="25"/>
      <c r="E3065" s="26"/>
      <c r="F3065" s="27"/>
      <c r="G3065" s="19" t="s">
        <v>1079</v>
      </c>
      <c r="H3065" s="27"/>
      <c r="I3065" s="23" t="str">
        <f>IF(ISNUMBER(G3065),E3065*G3065,"")</f>
        <v/>
      </c>
      <c r="J3065" s="24"/>
      <c r="K3065" s="19"/>
      <c r="L3065" s="174">
        <v>0</v>
      </c>
    </row>
    <row r="3066" spans="1:12" ht="15.75" hidden="1" thickBot="1" x14ac:dyDescent="0.3">
      <c r="A3066" s="180" t="s">
        <v>1761</v>
      </c>
      <c r="B3066" s="178" t="str">
        <f>INDEX(Orçamentária!A:B,MATCH(Composições!A3066,Orçamentária!A:A,0),2)</f>
        <v>Condutor 120mm²</v>
      </c>
      <c r="C3066" s="30"/>
      <c r="D3066" s="13" t="str">
        <f>TRIM(INDEX(Orçamentária!C:C,MATCH(Composições!A3066,Orçamentária!A:A,0),1))</f>
        <v>m</v>
      </c>
      <c r="E3066" s="14"/>
      <c r="F3066" s="15" t="s">
        <v>1762</v>
      </c>
      <c r="G3066" s="31" t="s">
        <v>1079</v>
      </c>
      <c r="H3066" s="16"/>
      <c r="I3066" s="16" t="str">
        <f>IF(ISNUMBER(G3066),E3066*G3066,"")</f>
        <v/>
      </c>
      <c r="J3066" s="17"/>
      <c r="K3066" s="18"/>
      <c r="L3066" s="174">
        <v>0</v>
      </c>
    </row>
    <row r="3067" spans="1:12" ht="15.75" hidden="1" thickBot="1" x14ac:dyDescent="0.3">
      <c r="A3067" s="181"/>
      <c r="B3067" s="179"/>
      <c r="C3067" s="20"/>
      <c r="D3067" s="20"/>
      <c r="E3067" s="21"/>
      <c r="F3067" s="22"/>
      <c r="G3067" s="32" t="s">
        <v>1079</v>
      </c>
      <c r="H3067" s="20"/>
      <c r="I3067" s="23" t="str">
        <f>IF(ISNUMBER(G3067),E3067*G3067,"")</f>
        <v/>
      </c>
      <c r="J3067" s="24"/>
      <c r="K3067" s="19"/>
      <c r="L3067" s="174">
        <v>0</v>
      </c>
    </row>
    <row r="3068" spans="1:12" ht="15.75" hidden="1" thickBot="1" x14ac:dyDescent="0.3">
      <c r="A3068" s="181"/>
      <c r="B3068" s="179"/>
      <c r="C3068" s="25" t="s">
        <v>1763</v>
      </c>
      <c r="D3068" s="25" t="s">
        <v>184</v>
      </c>
      <c r="E3068" s="26">
        <v>1.0149999999999999</v>
      </c>
      <c r="F3068" s="27" t="s">
        <v>1764</v>
      </c>
      <c r="G3068" s="19">
        <v>0</v>
      </c>
      <c r="H3068" s="27" t="s">
        <v>1765</v>
      </c>
      <c r="I3068" s="23">
        <f>IF(ISNUMBER(G3068),E3068*G3068,"")</f>
        <v>0</v>
      </c>
      <c r="J3068" s="28">
        <f>SUM(I3068:I3071)</f>
        <v>5.2817720000000001</v>
      </c>
      <c r="K3068" s="29"/>
      <c r="L3068" s="174">
        <v>0</v>
      </c>
    </row>
    <row r="3069" spans="1:12" ht="15.75" hidden="1" thickBot="1" x14ac:dyDescent="0.3">
      <c r="A3069" s="181"/>
      <c r="B3069" s="179"/>
      <c r="C3069" s="25" t="s">
        <v>1129</v>
      </c>
      <c r="D3069" s="36" t="s">
        <v>588</v>
      </c>
      <c r="E3069" s="26">
        <v>8.9999999999999993E-3</v>
      </c>
      <c r="F3069" s="27" t="s">
        <v>1764</v>
      </c>
      <c r="G3069" s="19">
        <v>3.6479999999999997</v>
      </c>
      <c r="H3069" s="27" t="s">
        <v>1130</v>
      </c>
      <c r="I3069" s="23">
        <f>IF(ISNUMBER(G3069),E3069*G3069,"")</f>
        <v>3.2831999999999993E-2</v>
      </c>
      <c r="J3069" s="24"/>
      <c r="K3069" s="19"/>
      <c r="L3069" s="174">
        <v>0</v>
      </c>
    </row>
    <row r="3070" spans="1:12" ht="15.75" hidden="1" thickBot="1" x14ac:dyDescent="0.3">
      <c r="A3070" s="181"/>
      <c r="B3070" s="179"/>
      <c r="C3070" s="25" t="s">
        <v>144</v>
      </c>
      <c r="D3070" s="25" t="s">
        <v>21</v>
      </c>
      <c r="E3070" s="26">
        <v>0.152</v>
      </c>
      <c r="F3070" s="27" t="s">
        <v>1764</v>
      </c>
      <c r="G3070" s="19">
        <v>15.218999999999999</v>
      </c>
      <c r="H3070" s="27" t="s">
        <v>145</v>
      </c>
      <c r="I3070" s="23">
        <f>IF(ISNUMBER(G3070),E3070*G3070,"")</f>
        <v>2.313288</v>
      </c>
      <c r="J3070" s="24"/>
      <c r="K3070" s="19"/>
      <c r="L3070" s="174">
        <v>0</v>
      </c>
    </row>
    <row r="3071" spans="1:12" ht="15.75" hidden="1" thickBot="1" x14ac:dyDescent="0.3">
      <c r="A3071" s="181"/>
      <c r="B3071" s="179"/>
      <c r="C3071" s="25" t="s">
        <v>54</v>
      </c>
      <c r="D3071" s="25" t="s">
        <v>21</v>
      </c>
      <c r="E3071" s="26">
        <v>0.152</v>
      </c>
      <c r="F3071" s="27" t="s">
        <v>1764</v>
      </c>
      <c r="G3071" s="19">
        <v>19.313499999999998</v>
      </c>
      <c r="H3071" s="27" t="s">
        <v>55</v>
      </c>
      <c r="I3071" s="23">
        <f>IF(ISNUMBER(G3071),E3071*G3071,"")</f>
        <v>2.9356519999999997</v>
      </c>
      <c r="J3071" s="24"/>
      <c r="K3071" s="19"/>
      <c r="L3071" s="174">
        <v>0</v>
      </c>
    </row>
    <row r="3072" spans="1:12" ht="15.75" hidden="1" thickBot="1" x14ac:dyDescent="0.3">
      <c r="A3072" s="182"/>
      <c r="B3072" s="183"/>
      <c r="C3072" s="25"/>
      <c r="D3072" s="25"/>
      <c r="E3072" s="26"/>
      <c r="F3072" s="27"/>
      <c r="G3072" s="19" t="s">
        <v>1079</v>
      </c>
      <c r="H3072" s="27"/>
      <c r="I3072" s="23" t="str">
        <f>IF(ISNUMBER(G3072),E3072*G3072,"")</f>
        <v/>
      </c>
      <c r="J3072" s="24"/>
      <c r="K3072" s="19"/>
      <c r="L3072" s="174">
        <v>0</v>
      </c>
    </row>
    <row r="3073" spans="1:12" ht="15.75" hidden="1" thickBot="1" x14ac:dyDescent="0.3">
      <c r="A3073" s="180" t="s">
        <v>1766</v>
      </c>
      <c r="B3073" s="178" t="str">
        <f>INDEX(Orçamentária!A:B,MATCH(Composições!A3073,Orçamentária!A:A,0),2)</f>
        <v>Condutor 150mm²</v>
      </c>
      <c r="C3073" s="30"/>
      <c r="D3073" s="13" t="str">
        <f>TRIM(INDEX(Orçamentária!C:C,MATCH(Composições!A3073,Orçamentária!A:A,0),1))</f>
        <v>m</v>
      </c>
      <c r="E3073" s="14"/>
      <c r="F3073" s="15" t="s">
        <v>1767</v>
      </c>
      <c r="G3073" s="31" t="s">
        <v>1079</v>
      </c>
      <c r="H3073" s="16"/>
      <c r="I3073" s="16" t="str">
        <f>IF(ISNUMBER(G3073),E3073*G3073,"")</f>
        <v/>
      </c>
      <c r="J3073" s="17"/>
      <c r="K3073" s="18"/>
      <c r="L3073" s="174">
        <v>0</v>
      </c>
    </row>
    <row r="3074" spans="1:12" ht="15.75" hidden="1" thickBot="1" x14ac:dyDescent="0.3">
      <c r="A3074" s="181"/>
      <c r="B3074" s="179"/>
      <c r="C3074" s="20"/>
      <c r="D3074" s="20"/>
      <c r="E3074" s="21"/>
      <c r="F3074" s="22"/>
      <c r="G3074" s="32" t="s">
        <v>1079</v>
      </c>
      <c r="H3074" s="20"/>
      <c r="I3074" s="23" t="str">
        <f>IF(ISNUMBER(G3074),E3074*G3074,"")</f>
        <v/>
      </c>
      <c r="J3074" s="24"/>
      <c r="K3074" s="19"/>
      <c r="L3074" s="174">
        <v>0</v>
      </c>
    </row>
    <row r="3075" spans="1:12" ht="15.75" hidden="1" thickBot="1" x14ac:dyDescent="0.3">
      <c r="A3075" s="181"/>
      <c r="B3075" s="179"/>
      <c r="C3075" s="25" t="s">
        <v>1768</v>
      </c>
      <c r="D3075" s="25" t="s">
        <v>184</v>
      </c>
      <c r="E3075" s="26">
        <v>1.0149999999999999</v>
      </c>
      <c r="F3075" s="27" t="s">
        <v>1769</v>
      </c>
      <c r="G3075" s="19">
        <v>0</v>
      </c>
      <c r="H3075" s="27" t="s">
        <v>1770</v>
      </c>
      <c r="I3075" s="23">
        <f>IF(ISNUMBER(G3075),E3075*G3075,"")</f>
        <v>0</v>
      </c>
      <c r="J3075" s="28">
        <f>SUM(I3075:I3078)</f>
        <v>6.2141494999999995</v>
      </c>
      <c r="K3075" s="29"/>
      <c r="L3075" s="174">
        <v>0</v>
      </c>
    </row>
    <row r="3076" spans="1:12" ht="15.75" hidden="1" thickBot="1" x14ac:dyDescent="0.3">
      <c r="A3076" s="181"/>
      <c r="B3076" s="179"/>
      <c r="C3076" s="25" t="s">
        <v>1129</v>
      </c>
      <c r="D3076" s="36" t="s">
        <v>588</v>
      </c>
      <c r="E3076" s="26">
        <v>8.9999999999999993E-3</v>
      </c>
      <c r="F3076" s="27" t="s">
        <v>1769</v>
      </c>
      <c r="G3076" s="19">
        <v>3.6479999999999997</v>
      </c>
      <c r="H3076" s="27" t="s">
        <v>1130</v>
      </c>
      <c r="I3076" s="23">
        <f>IF(ISNUMBER(G3076),E3076*G3076,"")</f>
        <v>3.2831999999999993E-2</v>
      </c>
      <c r="J3076" s="24"/>
      <c r="K3076" s="19"/>
      <c r="L3076" s="174">
        <v>0</v>
      </c>
    </row>
    <row r="3077" spans="1:12" ht="15.75" hidden="1" thickBot="1" x14ac:dyDescent="0.3">
      <c r="A3077" s="181"/>
      <c r="B3077" s="179"/>
      <c r="C3077" s="25" t="s">
        <v>144</v>
      </c>
      <c r="D3077" s="25" t="s">
        <v>21</v>
      </c>
      <c r="E3077" s="26">
        <v>0.17899999999999999</v>
      </c>
      <c r="F3077" s="27" t="s">
        <v>1769</v>
      </c>
      <c r="G3077" s="19">
        <v>15.218999999999999</v>
      </c>
      <c r="H3077" s="27" t="s">
        <v>145</v>
      </c>
      <c r="I3077" s="23">
        <f>IF(ISNUMBER(G3077),E3077*G3077,"")</f>
        <v>2.7242009999999999</v>
      </c>
      <c r="J3077" s="24"/>
      <c r="K3077" s="19"/>
      <c r="L3077" s="174">
        <v>0</v>
      </c>
    </row>
    <row r="3078" spans="1:12" ht="15.75" hidden="1" thickBot="1" x14ac:dyDescent="0.3">
      <c r="A3078" s="181"/>
      <c r="B3078" s="179"/>
      <c r="C3078" s="25" t="s">
        <v>54</v>
      </c>
      <c r="D3078" s="25" t="s">
        <v>21</v>
      </c>
      <c r="E3078" s="26">
        <v>0.17899999999999999</v>
      </c>
      <c r="F3078" s="27" t="s">
        <v>1769</v>
      </c>
      <c r="G3078" s="19">
        <v>19.313499999999998</v>
      </c>
      <c r="H3078" s="27" t="s">
        <v>55</v>
      </c>
      <c r="I3078" s="23">
        <f>IF(ISNUMBER(G3078),E3078*G3078,"")</f>
        <v>3.4571164999999993</v>
      </c>
      <c r="J3078" s="24"/>
      <c r="K3078" s="19"/>
      <c r="L3078" s="174">
        <v>0</v>
      </c>
    </row>
    <row r="3079" spans="1:12" ht="15.75" hidden="1" thickBot="1" x14ac:dyDescent="0.3">
      <c r="A3079" s="182"/>
      <c r="B3079" s="183"/>
      <c r="C3079" s="25"/>
      <c r="D3079" s="25"/>
      <c r="E3079" s="26"/>
      <c r="F3079" s="27"/>
      <c r="G3079" s="19" t="s">
        <v>1079</v>
      </c>
      <c r="H3079" s="27"/>
      <c r="I3079" s="23" t="str">
        <f>IF(ISNUMBER(G3079),E3079*G3079,"")</f>
        <v/>
      </c>
      <c r="J3079" s="24"/>
      <c r="K3079" s="19"/>
      <c r="L3079" s="174">
        <v>0</v>
      </c>
    </row>
    <row r="3080" spans="1:12" ht="15.75" hidden="1" thickBot="1" x14ac:dyDescent="0.3">
      <c r="A3080" s="180" t="s">
        <v>1771</v>
      </c>
      <c r="B3080" s="178" t="str">
        <f>INDEX(Orçamentária!A:B,MATCH(Composições!A3080,Orçamentária!A:A,0),2)</f>
        <v>Condutor 185mm²</v>
      </c>
      <c r="C3080" s="30"/>
      <c r="D3080" s="13" t="str">
        <f>TRIM(INDEX(Orçamentária!C:C,MATCH(Composições!A3080,Orçamentária!A:A,0),1))</f>
        <v>m</v>
      </c>
      <c r="E3080" s="14"/>
      <c r="F3080" s="15" t="s">
        <v>1772</v>
      </c>
      <c r="G3080" s="31" t="s">
        <v>1079</v>
      </c>
      <c r="H3080" s="16"/>
      <c r="I3080" s="16" t="str">
        <f>IF(ISNUMBER(G3080),E3080*G3080,"")</f>
        <v/>
      </c>
      <c r="J3080" s="17"/>
      <c r="K3080" s="18"/>
      <c r="L3080" s="174">
        <v>0</v>
      </c>
    </row>
    <row r="3081" spans="1:12" ht="15.75" hidden="1" thickBot="1" x14ac:dyDescent="0.3">
      <c r="A3081" s="181"/>
      <c r="B3081" s="179"/>
      <c r="C3081" s="20"/>
      <c r="D3081" s="20"/>
      <c r="E3081" s="21"/>
      <c r="F3081" s="22"/>
      <c r="G3081" s="32" t="s">
        <v>1079</v>
      </c>
      <c r="H3081" s="20"/>
      <c r="I3081" s="23" t="str">
        <f>IF(ISNUMBER(G3081),E3081*G3081,"")</f>
        <v/>
      </c>
      <c r="J3081" s="24"/>
      <c r="K3081" s="19"/>
      <c r="L3081" s="174">
        <v>0</v>
      </c>
    </row>
    <row r="3082" spans="1:12" ht="15.75" hidden="1" thickBot="1" x14ac:dyDescent="0.3">
      <c r="A3082" s="181"/>
      <c r="B3082" s="179"/>
      <c r="C3082" s="25" t="s">
        <v>1773</v>
      </c>
      <c r="D3082" s="25" t="s">
        <v>184</v>
      </c>
      <c r="E3082" s="26">
        <v>1.0149999999999999</v>
      </c>
      <c r="F3082" s="27" t="s">
        <v>1774</v>
      </c>
      <c r="G3082" s="19">
        <v>0</v>
      </c>
      <c r="H3082" s="27" t="s">
        <v>1775</v>
      </c>
      <c r="I3082" s="23">
        <f>IF(ISNUMBER(G3082),E3082*G3082,"")</f>
        <v>0</v>
      </c>
      <c r="J3082" s="28">
        <f>SUM(I3082:I3085)</f>
        <v>7.3537219999999994</v>
      </c>
      <c r="K3082" s="29"/>
      <c r="L3082" s="174">
        <v>0</v>
      </c>
    </row>
    <row r="3083" spans="1:12" ht="15.75" hidden="1" thickBot="1" x14ac:dyDescent="0.3">
      <c r="A3083" s="181"/>
      <c r="B3083" s="179"/>
      <c r="C3083" s="25" t="s">
        <v>1129</v>
      </c>
      <c r="D3083" s="36" t="s">
        <v>588</v>
      </c>
      <c r="E3083" s="26">
        <v>8.9999999999999993E-3</v>
      </c>
      <c r="F3083" s="27" t="s">
        <v>1774</v>
      </c>
      <c r="G3083" s="19">
        <v>3.6479999999999997</v>
      </c>
      <c r="H3083" s="27" t="s">
        <v>1130</v>
      </c>
      <c r="I3083" s="23">
        <f>IF(ISNUMBER(G3083),E3083*G3083,"")</f>
        <v>3.2831999999999993E-2</v>
      </c>
      <c r="J3083" s="24"/>
      <c r="K3083" s="19"/>
      <c r="L3083" s="174">
        <v>0</v>
      </c>
    </row>
    <row r="3084" spans="1:12" ht="15.75" hidden="1" thickBot="1" x14ac:dyDescent="0.3">
      <c r="A3084" s="181"/>
      <c r="B3084" s="179"/>
      <c r="C3084" s="25" t="s">
        <v>144</v>
      </c>
      <c r="D3084" s="25" t="s">
        <v>21</v>
      </c>
      <c r="E3084" s="26">
        <v>0.21199999999999999</v>
      </c>
      <c r="F3084" s="27" t="s">
        <v>1774</v>
      </c>
      <c r="G3084" s="19">
        <v>15.218999999999999</v>
      </c>
      <c r="H3084" s="27" t="s">
        <v>145</v>
      </c>
      <c r="I3084" s="23">
        <f>IF(ISNUMBER(G3084),E3084*G3084,"")</f>
        <v>3.2264279999999999</v>
      </c>
      <c r="J3084" s="24"/>
      <c r="K3084" s="19"/>
      <c r="L3084" s="174">
        <v>0</v>
      </c>
    </row>
    <row r="3085" spans="1:12" ht="15.75" hidden="1" thickBot="1" x14ac:dyDescent="0.3">
      <c r="A3085" s="181"/>
      <c r="B3085" s="179"/>
      <c r="C3085" s="25" t="s">
        <v>54</v>
      </c>
      <c r="D3085" s="25" t="s">
        <v>21</v>
      </c>
      <c r="E3085" s="26">
        <v>0.21199999999999999</v>
      </c>
      <c r="F3085" s="27" t="s">
        <v>1774</v>
      </c>
      <c r="G3085" s="19">
        <v>19.313499999999998</v>
      </c>
      <c r="H3085" s="27" t="s">
        <v>55</v>
      </c>
      <c r="I3085" s="23">
        <f>IF(ISNUMBER(G3085),E3085*G3085,"")</f>
        <v>4.0944619999999992</v>
      </c>
      <c r="J3085" s="24"/>
      <c r="K3085" s="19"/>
      <c r="L3085" s="174">
        <v>0</v>
      </c>
    </row>
    <row r="3086" spans="1:12" ht="15.75" hidden="1" thickBot="1" x14ac:dyDescent="0.3">
      <c r="A3086" s="182"/>
      <c r="B3086" s="183"/>
      <c r="C3086" s="25"/>
      <c r="D3086" s="25"/>
      <c r="E3086" s="26"/>
      <c r="F3086" s="27"/>
      <c r="G3086" s="19" t="s">
        <v>1079</v>
      </c>
      <c r="H3086" s="27"/>
      <c r="I3086" s="23" t="str">
        <f>IF(ISNUMBER(G3086),E3086*G3086,"")</f>
        <v/>
      </c>
      <c r="J3086" s="24"/>
      <c r="K3086" s="19"/>
      <c r="L3086" s="174">
        <v>0</v>
      </c>
    </row>
    <row r="3087" spans="1:12" ht="15.75" hidden="1" thickBot="1" x14ac:dyDescent="0.3">
      <c r="A3087" s="180" t="s">
        <v>1776</v>
      </c>
      <c r="B3087" s="178" t="str">
        <f>INDEX(Orçamentária!A:B,MATCH(Composições!A3087,Orçamentária!A:A,0),2)</f>
        <v>Condutor 240mm²</v>
      </c>
      <c r="C3087" s="30"/>
      <c r="D3087" s="13" t="str">
        <f>TRIM(INDEX(Orçamentária!C:C,MATCH(Composições!A3087,Orçamentária!A:A,0),1))</f>
        <v>m</v>
      </c>
      <c r="E3087" s="14"/>
      <c r="F3087" s="15" t="s">
        <v>1777</v>
      </c>
      <c r="G3087" s="31" t="s">
        <v>1079</v>
      </c>
      <c r="H3087" s="16"/>
      <c r="I3087" s="16" t="str">
        <f>IF(ISNUMBER(G3087),E3087*G3087,"")</f>
        <v/>
      </c>
      <c r="J3087" s="17"/>
      <c r="K3087" s="18"/>
      <c r="L3087" s="174">
        <v>0</v>
      </c>
    </row>
    <row r="3088" spans="1:12" ht="15.75" hidden="1" thickBot="1" x14ac:dyDescent="0.3">
      <c r="A3088" s="181"/>
      <c r="B3088" s="179"/>
      <c r="C3088" s="20"/>
      <c r="D3088" s="20"/>
      <c r="E3088" s="21"/>
      <c r="F3088" s="22"/>
      <c r="G3088" s="32" t="s">
        <v>1079</v>
      </c>
      <c r="H3088" s="20"/>
      <c r="I3088" s="23" t="str">
        <f>IF(ISNUMBER(G3088),E3088*G3088,"")</f>
        <v/>
      </c>
      <c r="J3088" s="24"/>
      <c r="K3088" s="19"/>
      <c r="L3088" s="174">
        <v>0</v>
      </c>
    </row>
    <row r="3089" spans="1:12" ht="15.75" hidden="1" thickBot="1" x14ac:dyDescent="0.3">
      <c r="A3089" s="181"/>
      <c r="B3089" s="179"/>
      <c r="C3089" s="25" t="s">
        <v>1778</v>
      </c>
      <c r="D3089" s="25" t="s">
        <v>184</v>
      </c>
      <c r="E3089" s="26">
        <v>1.0149999999999999</v>
      </c>
      <c r="F3089" s="27" t="s">
        <v>1779</v>
      </c>
      <c r="G3089" s="19">
        <v>0</v>
      </c>
      <c r="H3089" s="27" t="s">
        <v>1780</v>
      </c>
      <c r="I3089" s="23">
        <f>IF(ISNUMBER(G3089),E3089*G3089,"")</f>
        <v>0</v>
      </c>
      <c r="J3089" s="28">
        <f>SUM(I3089:I3092)</f>
        <v>2.2429119999999996</v>
      </c>
      <c r="K3089" s="29"/>
      <c r="L3089" s="174">
        <v>0</v>
      </c>
    </row>
    <row r="3090" spans="1:12" ht="15.75" hidden="1" thickBot="1" x14ac:dyDescent="0.3">
      <c r="A3090" s="181"/>
      <c r="B3090" s="179"/>
      <c r="C3090" s="25" t="s">
        <v>1129</v>
      </c>
      <c r="D3090" s="36" t="s">
        <v>588</v>
      </c>
      <c r="E3090" s="26">
        <v>8.9999999999999993E-3</v>
      </c>
      <c r="F3090" s="27" t="s">
        <v>1779</v>
      </c>
      <c r="G3090" s="19">
        <v>3.6479999999999997</v>
      </c>
      <c r="H3090" s="27" t="s">
        <v>1130</v>
      </c>
      <c r="I3090" s="23">
        <f>IF(ISNUMBER(G3090),E3090*G3090,"")</f>
        <v>3.2831999999999993E-2</v>
      </c>
      <c r="J3090" s="24"/>
      <c r="K3090" s="19"/>
      <c r="L3090" s="174">
        <v>0</v>
      </c>
    </row>
    <row r="3091" spans="1:12" ht="15.75" hidden="1" thickBot="1" x14ac:dyDescent="0.3">
      <c r="A3091" s="181"/>
      <c r="B3091" s="179"/>
      <c r="C3091" s="25" t="s">
        <v>144</v>
      </c>
      <c r="D3091" s="25" t="s">
        <v>21</v>
      </c>
      <c r="E3091" s="26">
        <v>6.4000000000000001E-2</v>
      </c>
      <c r="F3091" s="27" t="s">
        <v>1779</v>
      </c>
      <c r="G3091" s="19">
        <v>15.218999999999999</v>
      </c>
      <c r="H3091" s="27" t="s">
        <v>145</v>
      </c>
      <c r="I3091" s="23">
        <f>IF(ISNUMBER(G3091),E3091*G3091,"")</f>
        <v>0.97401599999999999</v>
      </c>
      <c r="J3091" s="24"/>
      <c r="K3091" s="19"/>
      <c r="L3091" s="174">
        <v>0</v>
      </c>
    </row>
    <row r="3092" spans="1:12" ht="15.75" hidden="1" thickBot="1" x14ac:dyDescent="0.3">
      <c r="A3092" s="181"/>
      <c r="B3092" s="179"/>
      <c r="C3092" s="25" t="s">
        <v>54</v>
      </c>
      <c r="D3092" s="25" t="s">
        <v>21</v>
      </c>
      <c r="E3092" s="26">
        <v>6.4000000000000001E-2</v>
      </c>
      <c r="F3092" s="27" t="s">
        <v>1779</v>
      </c>
      <c r="G3092" s="19">
        <v>19.313499999999998</v>
      </c>
      <c r="H3092" s="27" t="s">
        <v>55</v>
      </c>
      <c r="I3092" s="23">
        <f>IF(ISNUMBER(G3092),E3092*G3092,"")</f>
        <v>1.2360639999999998</v>
      </c>
      <c r="J3092" s="24"/>
      <c r="K3092" s="19"/>
      <c r="L3092" s="174">
        <v>0</v>
      </c>
    </row>
    <row r="3093" spans="1:12" ht="15.75" hidden="1" thickBot="1" x14ac:dyDescent="0.3">
      <c r="A3093" s="182"/>
      <c r="B3093" s="183"/>
      <c r="C3093" s="25"/>
      <c r="D3093" s="25"/>
      <c r="E3093" s="26"/>
      <c r="F3093" s="27"/>
      <c r="G3093" s="19" t="s">
        <v>1079</v>
      </c>
      <c r="H3093" s="27"/>
      <c r="I3093" s="23" t="str">
        <f>IF(ISNUMBER(G3093),E3093*G3093,"")</f>
        <v/>
      </c>
      <c r="J3093" s="24"/>
      <c r="K3093" s="19"/>
      <c r="L3093" s="174">
        <v>0</v>
      </c>
    </row>
    <row r="3094" spans="1:12" ht="15.75" hidden="1" thickBot="1" x14ac:dyDescent="0.3">
      <c r="A3094" s="180" t="s">
        <v>1781</v>
      </c>
      <c r="B3094" s="178" t="str">
        <f>INDEX(Orçamentária!A:B,MATCH(Composições!A3094,Orçamentária!A:A,0),2)</f>
        <v>Montagem e desmontagem de andaime fachadeiro</v>
      </c>
      <c r="C3094" s="30"/>
      <c r="D3094" s="13" t="str">
        <f>TRIM(INDEX(Orçamentária!C:C,MATCH(Composições!A3094,Orçamentária!A:A,0),1))</f>
        <v>m2</v>
      </c>
      <c r="E3094" s="14"/>
      <c r="F3094" s="15" t="s">
        <v>1782</v>
      </c>
      <c r="G3094" s="31" t="s">
        <v>1079</v>
      </c>
      <c r="H3094" s="16"/>
      <c r="I3094" s="16" t="str">
        <f>IF(ISNUMBER(G3094),E3094*G3094,"")</f>
        <v/>
      </c>
      <c r="J3094" s="17"/>
      <c r="K3094" s="18"/>
      <c r="L3094" s="174">
        <v>0</v>
      </c>
    </row>
    <row r="3095" spans="1:12" ht="15.75" hidden="1" thickBot="1" x14ac:dyDescent="0.3">
      <c r="A3095" s="181"/>
      <c r="B3095" s="179"/>
      <c r="C3095" s="20"/>
      <c r="D3095" s="20"/>
      <c r="E3095" s="21"/>
      <c r="F3095" s="22"/>
      <c r="G3095" s="32" t="s">
        <v>1079</v>
      </c>
      <c r="H3095" s="20"/>
      <c r="I3095" s="23" t="str">
        <f>IF(ISNUMBER(G3095),E3095*G3095,"")</f>
        <v/>
      </c>
      <c r="J3095" s="24"/>
      <c r="K3095" s="19"/>
      <c r="L3095" s="174">
        <v>0</v>
      </c>
    </row>
    <row r="3096" spans="1:12" ht="26.25" hidden="1" thickBot="1" x14ac:dyDescent="0.3">
      <c r="A3096" s="181"/>
      <c r="B3096" s="179"/>
      <c r="C3096" s="25" t="s">
        <v>1783</v>
      </c>
      <c r="D3096" s="36" t="s">
        <v>1366</v>
      </c>
      <c r="E3096" s="26">
        <v>0.29509999999999997</v>
      </c>
      <c r="F3096" s="27" t="s">
        <v>1782</v>
      </c>
      <c r="G3096" s="19">
        <v>14.715499999999999</v>
      </c>
      <c r="H3096" s="27" t="s">
        <v>49</v>
      </c>
      <c r="I3096" s="23">
        <f>IF(ISNUMBER(G3096),E3096*G3096,"")</f>
        <v>4.342544049999999</v>
      </c>
      <c r="J3096" s="28">
        <f>SUM(I3096:I3098)</f>
        <v>6.6541034596399982</v>
      </c>
      <c r="K3096" s="29"/>
      <c r="L3096" s="174">
        <v>0</v>
      </c>
    </row>
    <row r="3097" spans="1:12" ht="15.75" hidden="1" thickBot="1" x14ac:dyDescent="0.3">
      <c r="A3097" s="181"/>
      <c r="B3097" s="179"/>
      <c r="C3097" s="25" t="s">
        <v>1367</v>
      </c>
      <c r="D3097" s="36" t="s">
        <v>1366</v>
      </c>
      <c r="E3097" s="26">
        <v>5.8999999999999997E-2</v>
      </c>
      <c r="F3097" s="27" t="s">
        <v>1782</v>
      </c>
      <c r="G3097" s="19">
        <v>14.325999999999999</v>
      </c>
      <c r="H3097" s="27" t="s">
        <v>39</v>
      </c>
      <c r="I3097" s="23">
        <f>IF(ISNUMBER(G3097),E3097*G3097,"")</f>
        <v>0.84523399999999993</v>
      </c>
      <c r="J3097" s="24"/>
      <c r="K3097" s="19"/>
      <c r="L3097" s="174">
        <v>0</v>
      </c>
    </row>
    <row r="3098" spans="1:12" ht="51.75" hidden="1" thickBot="1" x14ac:dyDescent="0.3">
      <c r="A3098" s="181"/>
      <c r="B3098" s="179"/>
      <c r="C3098" s="25" t="s">
        <v>1784</v>
      </c>
      <c r="D3098" s="36" t="s">
        <v>1785</v>
      </c>
      <c r="E3098" s="26">
        <v>0.1673</v>
      </c>
      <c r="F3098" s="27" t="s">
        <v>1782</v>
      </c>
      <c r="G3098" s="19">
        <v>8.7646467999999995</v>
      </c>
      <c r="H3098" s="27" t="s">
        <v>1786</v>
      </c>
      <c r="I3098" s="23">
        <f>IF(ISNUMBER(G3098),E3098*G3098,"")</f>
        <v>1.46632540964</v>
      </c>
      <c r="J3098" s="24"/>
      <c r="K3098" s="19"/>
      <c r="L3098" s="174">
        <v>0</v>
      </c>
    </row>
    <row r="3099" spans="1:12" ht="15.75" hidden="1" thickBot="1" x14ac:dyDescent="0.3">
      <c r="A3099" s="182"/>
      <c r="B3099" s="183"/>
      <c r="C3099" s="25"/>
      <c r="D3099" s="25"/>
      <c r="E3099" s="26"/>
      <c r="F3099" s="27"/>
      <c r="G3099" s="19" t="s">
        <v>1079</v>
      </c>
      <c r="H3099" s="27"/>
      <c r="I3099" s="23" t="str">
        <f>IF(ISNUMBER(G3099),E3099*G3099,"")</f>
        <v/>
      </c>
      <c r="J3099" s="24"/>
      <c r="K3099" s="19"/>
      <c r="L3099" s="174">
        <v>0</v>
      </c>
    </row>
    <row r="3100" spans="1:12" ht="15.75" hidden="1" thickBot="1" x14ac:dyDescent="0.3">
      <c r="A3100" s="180" t="s">
        <v>1787</v>
      </c>
      <c r="B3100" s="178" t="str">
        <f>INDEX(Orçamentária!A:B,MATCH(Composições!A3100,Orçamentária!A:A,0),2)</f>
        <v>Montagem e desmontagem de andaime tubular</v>
      </c>
      <c r="C3100" s="30"/>
      <c r="D3100" s="13" t="str">
        <f>TRIM(INDEX(Orçamentária!C:C,MATCH(Composições!A3100,Orçamentária!A:A,0),1))</f>
        <v>m</v>
      </c>
      <c r="E3100" s="14"/>
      <c r="F3100" s="15" t="str">
        <f>F3102</f>
        <v>Sinapi 97064</v>
      </c>
      <c r="G3100" s="31" t="s">
        <v>1079</v>
      </c>
      <c r="H3100" s="16"/>
      <c r="I3100" s="16" t="str">
        <f>IF(ISNUMBER(G3100),E3100*G3100,"")</f>
        <v/>
      </c>
      <c r="J3100" s="17"/>
      <c r="K3100" s="18"/>
      <c r="L3100" s="174">
        <v>0</v>
      </c>
    </row>
    <row r="3101" spans="1:12" ht="15.75" hidden="1" thickBot="1" x14ac:dyDescent="0.3">
      <c r="A3101" s="181"/>
      <c r="B3101" s="179"/>
      <c r="C3101" s="20"/>
      <c r="D3101" s="20"/>
      <c r="E3101" s="21"/>
      <c r="F3101" s="22"/>
      <c r="G3101" s="32" t="s">
        <v>1079</v>
      </c>
      <c r="H3101" s="20"/>
      <c r="I3101" s="23" t="str">
        <f>IF(ISNUMBER(G3101),E3101*G3101,"")</f>
        <v/>
      </c>
      <c r="J3101" s="24"/>
      <c r="K3101" s="19"/>
      <c r="L3101" s="174">
        <v>0</v>
      </c>
    </row>
    <row r="3102" spans="1:12" ht="26.25" hidden="1" thickBot="1" x14ac:dyDescent="0.3">
      <c r="A3102" s="181"/>
      <c r="B3102" s="179"/>
      <c r="C3102" s="25" t="s">
        <v>1783</v>
      </c>
      <c r="D3102" s="36" t="s">
        <v>1366</v>
      </c>
      <c r="E3102" s="26">
        <v>0.5</v>
      </c>
      <c r="F3102" s="27" t="s">
        <v>1788</v>
      </c>
      <c r="G3102" s="19">
        <v>14.715499999999999</v>
      </c>
      <c r="H3102" s="27" t="s">
        <v>49</v>
      </c>
      <c r="I3102" s="23">
        <f>IF(ISNUMBER(G3102),E3102*G3102,"")</f>
        <v>7.3577499999999993</v>
      </c>
      <c r="J3102" s="28">
        <f>SUM(I3102:I3104)</f>
        <v>12.3137380136</v>
      </c>
      <c r="K3102" s="29"/>
      <c r="L3102" s="174">
        <v>0</v>
      </c>
    </row>
    <row r="3103" spans="1:12" ht="15.75" hidden="1" thickBot="1" x14ac:dyDescent="0.3">
      <c r="A3103" s="181"/>
      <c r="B3103" s="179"/>
      <c r="C3103" s="25" t="s">
        <v>1367</v>
      </c>
      <c r="D3103" s="36" t="s">
        <v>1366</v>
      </c>
      <c r="E3103" s="26">
        <v>0.1</v>
      </c>
      <c r="F3103" s="27" t="s">
        <v>1788</v>
      </c>
      <c r="G3103" s="19">
        <v>14.325999999999999</v>
      </c>
      <c r="H3103" s="27" t="s">
        <v>39</v>
      </c>
      <c r="I3103" s="23">
        <f>IF(ISNUMBER(G3103),E3103*G3103,"")</f>
        <v>1.4325999999999999</v>
      </c>
      <c r="J3103" s="28"/>
      <c r="K3103" s="29"/>
      <c r="L3103" s="174">
        <v>0</v>
      </c>
    </row>
    <row r="3104" spans="1:12" ht="51.75" hidden="1" thickBot="1" x14ac:dyDescent="0.3">
      <c r="A3104" s="181"/>
      <c r="B3104" s="179"/>
      <c r="C3104" s="25" t="s">
        <v>1784</v>
      </c>
      <c r="D3104" s="36" t="s">
        <v>1785</v>
      </c>
      <c r="E3104" s="26">
        <v>0.40200000000000002</v>
      </c>
      <c r="F3104" s="27" t="s">
        <v>1788</v>
      </c>
      <c r="G3104" s="19">
        <v>8.7646467999999995</v>
      </c>
      <c r="H3104" s="27" t="s">
        <v>1786</v>
      </c>
      <c r="I3104" s="23">
        <f>IF(ISNUMBER(G3104),E3104*G3104,"")</f>
        <v>3.5233880136</v>
      </c>
      <c r="J3104" s="24"/>
      <c r="K3104" s="19"/>
      <c r="L3104" s="174">
        <v>0</v>
      </c>
    </row>
    <row r="3105" spans="1:12" ht="15.75" hidden="1" thickBot="1" x14ac:dyDescent="0.3">
      <c r="A3105" s="182"/>
      <c r="B3105" s="183"/>
      <c r="C3105" s="25"/>
      <c r="D3105" s="25"/>
      <c r="E3105" s="26"/>
      <c r="F3105" s="27"/>
      <c r="G3105" s="19" t="s">
        <v>1079</v>
      </c>
      <c r="H3105" s="27"/>
      <c r="I3105" s="23" t="str">
        <f>IF(ISNUMBER(G3105),E3105*G3105,"")</f>
        <v/>
      </c>
      <c r="J3105" s="24"/>
      <c r="K3105" s="19"/>
      <c r="L3105" s="174">
        <v>0</v>
      </c>
    </row>
    <row r="3106" spans="1:12" ht="15.75" hidden="1" thickBot="1" x14ac:dyDescent="0.3">
      <c r="A3106" s="180" t="s">
        <v>1789</v>
      </c>
      <c r="B3106" s="178" t="str">
        <f>INDEX(Orçamentária!A:B,MATCH(Composições!A3106,Orçamentária!A:A,0),2)</f>
        <v>Locação de fechamento para andaimes com tela 100% polietileno</v>
      </c>
      <c r="C3106" s="30"/>
      <c r="D3106" s="13" t="str">
        <f>TRIM(INDEX(Orçamentária!C:C,MATCH(Composições!A3106,Orçamentária!A:A,0),1))</f>
        <v>m2 x mês</v>
      </c>
      <c r="E3106" s="14"/>
      <c r="F3106" s="15" t="s">
        <v>1790</v>
      </c>
      <c r="G3106" s="31" t="s">
        <v>1079</v>
      </c>
      <c r="H3106" s="16"/>
      <c r="I3106" s="16" t="str">
        <f>IF(ISNUMBER(G3106),E3106*G3106,"")</f>
        <v/>
      </c>
      <c r="J3106" s="17"/>
      <c r="K3106" s="18"/>
      <c r="L3106" s="174">
        <v>0</v>
      </c>
    </row>
    <row r="3107" spans="1:12" ht="15.75" hidden="1" thickBot="1" x14ac:dyDescent="0.3">
      <c r="A3107" s="181"/>
      <c r="B3107" s="179"/>
      <c r="C3107" s="20"/>
      <c r="D3107" s="20"/>
      <c r="E3107" s="21"/>
      <c r="F3107" s="22"/>
      <c r="G3107" s="32" t="s">
        <v>1079</v>
      </c>
      <c r="H3107" s="20"/>
      <c r="I3107" s="23" t="str">
        <f>IF(ISNUMBER(G3107),E3107*G3107,"")</f>
        <v/>
      </c>
      <c r="J3107" s="24"/>
      <c r="K3107" s="19"/>
      <c r="L3107" s="174">
        <v>0</v>
      </c>
    </row>
    <row r="3108" spans="1:12" ht="26.25" hidden="1" thickBot="1" x14ac:dyDescent="0.3">
      <c r="A3108" s="181"/>
      <c r="B3108" s="179"/>
      <c r="C3108" s="25" t="s">
        <v>1791</v>
      </c>
      <c r="D3108" s="36" t="s">
        <v>588</v>
      </c>
      <c r="E3108" s="26">
        <v>0.89449999999999996</v>
      </c>
      <c r="F3108" s="27" t="s">
        <v>1792</v>
      </c>
      <c r="G3108" s="19">
        <v>0.18049999999999999</v>
      </c>
      <c r="H3108" s="27" t="s">
        <v>1793</v>
      </c>
      <c r="I3108" s="23">
        <f>IF(ISNUMBER(G3108),E3108*G3108,"")</f>
        <v>0.16145725</v>
      </c>
      <c r="J3108" s="28">
        <f>SUM(I3108:I3111)</f>
        <v>3.4323709000000004</v>
      </c>
      <c r="K3108" s="29"/>
      <c r="L3108" s="174">
        <v>0</v>
      </c>
    </row>
    <row r="3109" spans="1:12" ht="26.25" hidden="1" thickBot="1" x14ac:dyDescent="0.3">
      <c r="A3109" s="181"/>
      <c r="B3109" s="179"/>
      <c r="C3109" s="25" t="s">
        <v>1794</v>
      </c>
      <c r="D3109" s="36" t="s">
        <v>1795</v>
      </c>
      <c r="E3109" s="26">
        <f>ROUND(1.177*(1/3),4)</f>
        <v>0.39229999999999998</v>
      </c>
      <c r="F3109" s="27" t="s">
        <v>1792</v>
      </c>
      <c r="G3109" s="19">
        <v>1.9</v>
      </c>
      <c r="H3109" s="27" t="s">
        <v>190</v>
      </c>
      <c r="I3109" s="23">
        <f>IF(ISNUMBER(G3109),E3109*G3109,"")</f>
        <v>0.74536999999999998</v>
      </c>
      <c r="J3109" s="24"/>
      <c r="K3109" s="19"/>
      <c r="L3109" s="174">
        <v>0</v>
      </c>
    </row>
    <row r="3110" spans="1:12" ht="15.75" hidden="1" thickBot="1" x14ac:dyDescent="0.3">
      <c r="A3110" s="181"/>
      <c r="B3110" s="179"/>
      <c r="C3110" s="25" t="s">
        <v>1501</v>
      </c>
      <c r="D3110" s="36" t="s">
        <v>1366</v>
      </c>
      <c r="E3110" s="26">
        <v>6.9900000000000004E-2</v>
      </c>
      <c r="F3110" s="27" t="s">
        <v>1792</v>
      </c>
      <c r="G3110" s="19">
        <v>16.159500000000001</v>
      </c>
      <c r="H3110" s="27" t="s">
        <v>268</v>
      </c>
      <c r="I3110" s="23">
        <f>IF(ISNUMBER(G3110),E3110*G3110,"")</f>
        <v>1.1295490500000001</v>
      </c>
      <c r="J3110" s="24"/>
      <c r="K3110" s="19"/>
      <c r="L3110" s="174">
        <v>0</v>
      </c>
    </row>
    <row r="3111" spans="1:12" ht="15.75" hidden="1" thickBot="1" x14ac:dyDescent="0.3">
      <c r="A3111" s="181"/>
      <c r="B3111" s="179"/>
      <c r="C3111" s="25" t="s">
        <v>1796</v>
      </c>
      <c r="D3111" s="36" t="s">
        <v>1366</v>
      </c>
      <c r="E3111" s="26">
        <v>7.3400000000000007E-2</v>
      </c>
      <c r="F3111" s="27" t="s">
        <v>1792</v>
      </c>
      <c r="G3111" s="19">
        <v>19.018999999999998</v>
      </c>
      <c r="H3111" s="27" t="s">
        <v>155</v>
      </c>
      <c r="I3111" s="23">
        <f>IF(ISNUMBER(G3111),E3111*G3111,"")</f>
        <v>1.3959946000000001</v>
      </c>
      <c r="J3111" s="24"/>
      <c r="K3111" s="19"/>
      <c r="L3111" s="174">
        <v>0</v>
      </c>
    </row>
    <row r="3112" spans="1:12" ht="15.75" hidden="1" thickBot="1" x14ac:dyDescent="0.3">
      <c r="A3112" s="181"/>
      <c r="B3112" s="179"/>
      <c r="C3112" s="25"/>
      <c r="D3112" s="36"/>
      <c r="E3112" s="26"/>
      <c r="F3112" s="27"/>
      <c r="G3112" s="19" t="s">
        <v>1079</v>
      </c>
      <c r="H3112" s="27"/>
      <c r="I3112" s="23" t="str">
        <f>IF(ISNUMBER(G3112),E3112*G3112,"")</f>
        <v/>
      </c>
      <c r="J3112" s="24"/>
      <c r="K3112" s="19"/>
      <c r="L3112" s="174">
        <v>0</v>
      </c>
    </row>
    <row r="3113" spans="1:12" ht="26.25" hidden="1" thickBot="1" x14ac:dyDescent="0.3">
      <c r="A3113" s="181"/>
      <c r="B3113" s="179"/>
      <c r="C3113" s="44" t="s">
        <v>1797</v>
      </c>
      <c r="D3113" s="36"/>
      <c r="E3113" s="26"/>
      <c r="F3113" s="27"/>
      <c r="G3113" s="19" t="s">
        <v>1079</v>
      </c>
      <c r="H3113" s="27"/>
      <c r="I3113" s="23" t="str">
        <f>IF(ISNUMBER(G3113),E3113*G3113,"")</f>
        <v/>
      </c>
      <c r="J3113" s="24"/>
      <c r="K3113" s="19"/>
      <c r="L3113" s="174">
        <v>0</v>
      </c>
    </row>
    <row r="3114" spans="1:12" ht="15.75" hidden="1" thickBot="1" x14ac:dyDescent="0.3">
      <c r="A3114" s="182"/>
      <c r="B3114" s="183"/>
      <c r="C3114" s="47"/>
      <c r="D3114" s="47"/>
      <c r="E3114" s="60"/>
      <c r="F3114" s="61"/>
      <c r="G3114" s="62" t="s">
        <v>1079</v>
      </c>
      <c r="H3114" s="61"/>
      <c r="I3114" s="63" t="str">
        <f>IF(ISNUMBER(G3114),E3114*G3114,"")</f>
        <v/>
      </c>
      <c r="J3114" s="64"/>
      <c r="K3114" s="19"/>
      <c r="L3114" s="174">
        <v>0</v>
      </c>
    </row>
    <row r="3115" spans="1:12" ht="15.75" hidden="1" thickBot="1" x14ac:dyDescent="0.3">
      <c r="A3115" s="180" t="s">
        <v>1798</v>
      </c>
      <c r="B3115" s="178" t="str">
        <f>INDEX(Orçamentária!A:B,MATCH(Composições!A3115,Orçamentária!A:A,0),2)</f>
        <v>Remoção de folha de porta de enrolar</v>
      </c>
      <c r="C3115" s="30"/>
      <c r="D3115" s="13" t="str">
        <f>TRIM(INDEX(Orçamentária!C:C,MATCH(Composições!A3115,Orçamentária!A:A,0),1))</f>
        <v>un</v>
      </c>
      <c r="E3115" s="14"/>
      <c r="F3115" s="15" t="s">
        <v>17</v>
      </c>
      <c r="G3115" s="31" t="s">
        <v>1079</v>
      </c>
      <c r="H3115" s="16"/>
      <c r="I3115" s="16" t="str">
        <f>IF(ISNUMBER(G3115),E3115*G3115,"")</f>
        <v/>
      </c>
      <c r="J3115" s="17"/>
      <c r="K3115" s="18"/>
      <c r="L3115" s="174">
        <v>0</v>
      </c>
    </row>
    <row r="3116" spans="1:12" ht="15.75" hidden="1" thickBot="1" x14ac:dyDescent="0.3">
      <c r="A3116" s="181"/>
      <c r="B3116" s="179"/>
      <c r="C3116" s="20"/>
      <c r="D3116" s="20"/>
      <c r="E3116" s="21"/>
      <c r="F3116" s="22"/>
      <c r="G3116" s="32" t="s">
        <v>1079</v>
      </c>
      <c r="H3116" s="20"/>
      <c r="I3116" s="23" t="str">
        <f>IF(ISNUMBER(G3116),E3116*G3116,"")</f>
        <v/>
      </c>
      <c r="J3116" s="24"/>
      <c r="K3116" s="19"/>
      <c r="L3116" s="174">
        <v>0</v>
      </c>
    </row>
    <row r="3117" spans="1:12" ht="15.75" hidden="1" thickBot="1" x14ac:dyDescent="0.3">
      <c r="A3117" s="181"/>
      <c r="B3117" s="179"/>
      <c r="C3117" s="25" t="s">
        <v>1222</v>
      </c>
      <c r="D3117" s="25" t="s">
        <v>21</v>
      </c>
      <c r="E3117" s="26">
        <v>2.5</v>
      </c>
      <c r="F3117" s="27" t="s">
        <v>17</v>
      </c>
      <c r="G3117" s="19">
        <v>19.056999999999999</v>
      </c>
      <c r="H3117" s="27" t="s">
        <v>1224</v>
      </c>
      <c r="I3117" s="23">
        <f>IF(ISNUMBER(G3117),E3117*G3117,"")</f>
        <v>47.642499999999998</v>
      </c>
      <c r="J3117" s="28">
        <f>SUM(I3117:I3118)</f>
        <v>125.77999999999999</v>
      </c>
      <c r="K3117" s="29"/>
      <c r="L3117" s="174">
        <v>0</v>
      </c>
    </row>
    <row r="3118" spans="1:12" ht="15.75" hidden="1" thickBot="1" x14ac:dyDescent="0.3">
      <c r="A3118" s="181"/>
      <c r="B3118" s="179"/>
      <c r="C3118" s="25" t="s">
        <v>1225</v>
      </c>
      <c r="D3118" s="25" t="s">
        <v>21</v>
      </c>
      <c r="E3118" s="26">
        <v>5</v>
      </c>
      <c r="F3118" s="27" t="s">
        <v>17</v>
      </c>
      <c r="G3118" s="19">
        <v>15.627499999999998</v>
      </c>
      <c r="H3118" s="27" t="s">
        <v>1226</v>
      </c>
      <c r="I3118" s="23">
        <f>IF(ISNUMBER(G3118),E3118*G3118,"")</f>
        <v>78.137499999999989</v>
      </c>
      <c r="J3118" s="24"/>
      <c r="K3118" s="19"/>
      <c r="L3118" s="174">
        <v>0</v>
      </c>
    </row>
    <row r="3119" spans="1:12" ht="15.75" hidden="1" thickBot="1" x14ac:dyDescent="0.3">
      <c r="A3119" s="182"/>
      <c r="B3119" s="183"/>
      <c r="C3119" s="25"/>
      <c r="D3119" s="25"/>
      <c r="E3119" s="26"/>
      <c r="F3119" s="27"/>
      <c r="G3119" s="19" t="s">
        <v>1079</v>
      </c>
      <c r="H3119" s="27"/>
      <c r="I3119" s="23" t="str">
        <f>IF(ISNUMBER(G3119),E3119*G3119,"")</f>
        <v/>
      </c>
      <c r="J3119" s="24"/>
      <c r="K3119" s="19"/>
      <c r="L3119" s="174">
        <v>0</v>
      </c>
    </row>
    <row r="3120" spans="1:12" ht="15.75" hidden="1" thickBot="1" x14ac:dyDescent="0.3">
      <c r="A3120" s="180" t="s">
        <v>1799</v>
      </c>
      <c r="B3120" s="178" t="str">
        <f>INDEX(Orçamentária!A:B,MATCH(Composições!A3120,Orçamentária!A:A,0),2)</f>
        <v>Base registro de gaveta 1"</v>
      </c>
      <c r="C3120" s="30"/>
      <c r="D3120" s="13" t="str">
        <f>TRIM(INDEX(Orçamentária!C:C,MATCH(Composições!A3120,Orçamentária!A:A,0),1))</f>
        <v>un</v>
      </c>
      <c r="E3120" s="14"/>
      <c r="F3120" s="15" t="s">
        <v>1800</v>
      </c>
      <c r="G3120" s="31" t="s">
        <v>1079</v>
      </c>
      <c r="H3120" s="16"/>
      <c r="I3120" s="16" t="str">
        <f>IF(ISNUMBER(G3120),E3120*G3120,"")</f>
        <v/>
      </c>
      <c r="J3120" s="17"/>
      <c r="K3120" s="18"/>
      <c r="L3120" s="174">
        <v>0</v>
      </c>
    </row>
    <row r="3121" spans="1:12" ht="15.75" hidden="1" thickBot="1" x14ac:dyDescent="0.3">
      <c r="A3121" s="181"/>
      <c r="B3121" s="179"/>
      <c r="C3121" s="20"/>
      <c r="D3121" s="20"/>
      <c r="E3121" s="21"/>
      <c r="F3121" s="22"/>
      <c r="G3121" s="32" t="s">
        <v>1079</v>
      </c>
      <c r="H3121" s="20"/>
      <c r="I3121" s="23" t="str">
        <f>IF(ISNUMBER(G3121),E3121*G3121,"")</f>
        <v/>
      </c>
      <c r="J3121" s="24"/>
      <c r="K3121" s="19"/>
      <c r="L3121" s="174">
        <v>0</v>
      </c>
    </row>
    <row r="3122" spans="1:12" ht="26.25" hidden="1" thickBot="1" x14ac:dyDescent="0.3">
      <c r="A3122" s="181"/>
      <c r="B3122" s="179"/>
      <c r="C3122" s="25" t="s">
        <v>1801</v>
      </c>
      <c r="D3122" s="36" t="s">
        <v>305</v>
      </c>
      <c r="E3122" s="26">
        <v>1</v>
      </c>
      <c r="F3122" s="27" t="s">
        <v>1802</v>
      </c>
      <c r="G3122" s="19" t="s">
        <v>1079</v>
      </c>
      <c r="H3122" s="27" t="s">
        <v>33</v>
      </c>
      <c r="I3122" s="23" t="str">
        <f>IF(ISNUMBER(G3122),E3122*G3122,"")</f>
        <v/>
      </c>
      <c r="J3122" s="28">
        <f>SUM(I3122:I3125)</f>
        <v>26.059583</v>
      </c>
      <c r="K3122" s="29"/>
      <c r="L3122" s="174">
        <v>0</v>
      </c>
    </row>
    <row r="3123" spans="1:12" ht="15.75" hidden="1" thickBot="1" x14ac:dyDescent="0.3">
      <c r="A3123" s="181"/>
      <c r="B3123" s="179"/>
      <c r="C3123" s="25" t="s">
        <v>689</v>
      </c>
      <c r="D3123" s="36" t="s">
        <v>588</v>
      </c>
      <c r="E3123" s="26">
        <v>9.4999999999999998E-3</v>
      </c>
      <c r="F3123" s="27" t="s">
        <v>1802</v>
      </c>
      <c r="G3123" s="19">
        <v>10.677999999999999</v>
      </c>
      <c r="H3123" s="27" t="s">
        <v>690</v>
      </c>
      <c r="I3123" s="23">
        <f>IF(ISNUMBER(G3123),E3123*G3123,"")</f>
        <v>0.10144099999999999</v>
      </c>
      <c r="J3123" s="24"/>
      <c r="K3123" s="19"/>
      <c r="L3123" s="174">
        <v>0</v>
      </c>
    </row>
    <row r="3124" spans="1:12" ht="15.75" hidden="1" thickBot="1" x14ac:dyDescent="0.3">
      <c r="A3124" s="181"/>
      <c r="B3124" s="179"/>
      <c r="C3124" s="25" t="s">
        <v>70</v>
      </c>
      <c r="D3124" s="36" t="s">
        <v>21</v>
      </c>
      <c r="E3124" s="26">
        <v>0.77449999999999997</v>
      </c>
      <c r="F3124" s="27" t="s">
        <v>1802</v>
      </c>
      <c r="G3124" s="19">
        <v>18.743500000000001</v>
      </c>
      <c r="H3124" s="27" t="s">
        <v>71</v>
      </c>
      <c r="I3124" s="23">
        <f>IF(ISNUMBER(G3124),E3124*G3124,"")</f>
        <v>14.51684075</v>
      </c>
      <c r="J3124" s="24"/>
      <c r="K3124" s="19"/>
      <c r="L3124" s="174">
        <v>0</v>
      </c>
    </row>
    <row r="3125" spans="1:12" ht="26.25" hidden="1" thickBot="1" x14ac:dyDescent="0.3">
      <c r="A3125" s="181"/>
      <c r="B3125" s="179"/>
      <c r="C3125" s="25" t="s">
        <v>224</v>
      </c>
      <c r="D3125" s="25" t="s">
        <v>21</v>
      </c>
      <c r="E3125" s="26">
        <v>0.77449999999999997</v>
      </c>
      <c r="F3125" s="27" t="s">
        <v>1802</v>
      </c>
      <c r="G3125" s="19">
        <v>14.772500000000001</v>
      </c>
      <c r="H3125" s="27" t="s">
        <v>226</v>
      </c>
      <c r="I3125" s="23">
        <f>IF(ISNUMBER(G3125),E3125*G3125,"")</f>
        <v>11.44130125</v>
      </c>
      <c r="J3125" s="24"/>
      <c r="K3125" s="19"/>
      <c r="L3125" s="174">
        <v>0</v>
      </c>
    </row>
    <row r="3126" spans="1:12" ht="15.75" hidden="1" thickBot="1" x14ac:dyDescent="0.3">
      <c r="A3126" s="182"/>
      <c r="B3126" s="183"/>
      <c r="C3126" s="25"/>
      <c r="D3126" s="25"/>
      <c r="E3126" s="26"/>
      <c r="F3126" s="27"/>
      <c r="G3126" s="19" t="s">
        <v>1079</v>
      </c>
      <c r="H3126" s="27"/>
      <c r="I3126" s="23" t="str">
        <f>IF(ISNUMBER(G3126),E3126*G3126,"")</f>
        <v/>
      </c>
      <c r="J3126" s="24"/>
      <c r="K3126" s="19"/>
      <c r="L3126" s="174">
        <v>0</v>
      </c>
    </row>
    <row r="3127" spans="1:12" ht="15.75" hidden="1" thickBot="1" x14ac:dyDescent="0.3">
      <c r="A3127" s="180" t="s">
        <v>1803</v>
      </c>
      <c r="B3127" s="178" t="str">
        <f>INDEX(Orçamentária!A:B,MATCH(Composições!A3127,Orçamentária!A:A,0),2)</f>
        <v>Base registro de pressão 3/4"</v>
      </c>
      <c r="C3127" s="30"/>
      <c r="D3127" s="13" t="str">
        <f>TRIM(INDEX(Orçamentária!C:C,MATCH(Composições!A3127,Orçamentária!A:A,0),1))</f>
        <v>un</v>
      </c>
      <c r="E3127" s="14"/>
      <c r="F3127" s="15" t="s">
        <v>1804</v>
      </c>
      <c r="G3127" s="31" t="s">
        <v>1079</v>
      </c>
      <c r="H3127" s="16"/>
      <c r="I3127" s="16" t="str">
        <f>IF(ISNUMBER(G3127),E3127*G3127,"")</f>
        <v/>
      </c>
      <c r="J3127" s="17"/>
      <c r="K3127" s="18"/>
      <c r="L3127" s="174">
        <v>0</v>
      </c>
    </row>
    <row r="3128" spans="1:12" ht="15.75" hidden="1" thickBot="1" x14ac:dyDescent="0.3">
      <c r="A3128" s="181"/>
      <c r="B3128" s="179"/>
      <c r="C3128" s="20"/>
      <c r="D3128" s="20"/>
      <c r="E3128" s="21"/>
      <c r="F3128" s="22"/>
      <c r="G3128" s="32" t="s">
        <v>1079</v>
      </c>
      <c r="H3128" s="20"/>
      <c r="I3128" s="23" t="str">
        <f>IF(ISNUMBER(G3128),E3128*G3128,"")</f>
        <v/>
      </c>
      <c r="J3128" s="24"/>
      <c r="K3128" s="19"/>
      <c r="L3128" s="174">
        <v>0</v>
      </c>
    </row>
    <row r="3129" spans="1:12" ht="15.75" hidden="1" thickBot="1" x14ac:dyDescent="0.3">
      <c r="A3129" s="181"/>
      <c r="B3129" s="179"/>
      <c r="C3129" s="25" t="s">
        <v>689</v>
      </c>
      <c r="D3129" s="36" t="s">
        <v>588</v>
      </c>
      <c r="E3129" s="26">
        <v>1.2999999999999999E-2</v>
      </c>
      <c r="F3129" s="27" t="s">
        <v>1805</v>
      </c>
      <c r="G3129" s="19">
        <v>10.677999999999999</v>
      </c>
      <c r="H3129" s="27" t="s">
        <v>690</v>
      </c>
      <c r="I3129" s="23">
        <f>IF(ISNUMBER(G3129),E3129*G3129,"")</f>
        <v>0.13881399999999999</v>
      </c>
      <c r="J3129" s="28">
        <f>SUM(I3129:I3132)</f>
        <v>6.8420140000000007</v>
      </c>
      <c r="K3129" s="29"/>
      <c r="L3129" s="174">
        <v>0</v>
      </c>
    </row>
    <row r="3130" spans="1:12" ht="26.25" hidden="1" thickBot="1" x14ac:dyDescent="0.3">
      <c r="A3130" s="181"/>
      <c r="B3130" s="179"/>
      <c r="C3130" s="25" t="s">
        <v>1806</v>
      </c>
      <c r="D3130" s="36" t="s">
        <v>305</v>
      </c>
      <c r="E3130" s="26">
        <v>1</v>
      </c>
      <c r="F3130" s="27" t="s">
        <v>1805</v>
      </c>
      <c r="G3130" s="19" t="s">
        <v>1079</v>
      </c>
      <c r="H3130" s="27" t="s">
        <v>33</v>
      </c>
      <c r="I3130" s="23" t="str">
        <f>IF(ISNUMBER(G3130),E3130*G3130,"")</f>
        <v/>
      </c>
      <c r="J3130" s="24"/>
      <c r="K3130" s="19"/>
      <c r="L3130" s="174">
        <v>0</v>
      </c>
    </row>
    <row r="3131" spans="1:12" ht="26.25" hidden="1" thickBot="1" x14ac:dyDescent="0.3">
      <c r="A3131" s="181"/>
      <c r="B3131" s="179"/>
      <c r="C3131" s="25" t="s">
        <v>224</v>
      </c>
      <c r="D3131" s="36" t="s">
        <v>21</v>
      </c>
      <c r="E3131" s="26">
        <v>0.2</v>
      </c>
      <c r="F3131" s="27" t="s">
        <v>1805</v>
      </c>
      <c r="G3131" s="19">
        <v>14.772500000000001</v>
      </c>
      <c r="H3131" s="27" t="s">
        <v>226</v>
      </c>
      <c r="I3131" s="23">
        <f>IF(ISNUMBER(G3131),E3131*G3131,"")</f>
        <v>2.9545000000000003</v>
      </c>
      <c r="J3131" s="24"/>
      <c r="K3131" s="19"/>
      <c r="L3131" s="174">
        <v>0</v>
      </c>
    </row>
    <row r="3132" spans="1:12" ht="15.75" hidden="1" thickBot="1" x14ac:dyDescent="0.3">
      <c r="A3132" s="181"/>
      <c r="B3132" s="179"/>
      <c r="C3132" s="25" t="s">
        <v>70</v>
      </c>
      <c r="D3132" s="25" t="s">
        <v>21</v>
      </c>
      <c r="E3132" s="26">
        <v>0.2</v>
      </c>
      <c r="F3132" s="27" t="s">
        <v>1805</v>
      </c>
      <c r="G3132" s="19">
        <v>18.743500000000001</v>
      </c>
      <c r="H3132" s="27" t="s">
        <v>71</v>
      </c>
      <c r="I3132" s="23">
        <f>IF(ISNUMBER(G3132),E3132*G3132,"")</f>
        <v>3.7487000000000004</v>
      </c>
      <c r="J3132" s="24"/>
      <c r="K3132" s="19"/>
      <c r="L3132" s="174">
        <v>0</v>
      </c>
    </row>
    <row r="3133" spans="1:12" ht="15.75" hidden="1" thickBot="1" x14ac:dyDescent="0.3">
      <c r="A3133" s="182"/>
      <c r="B3133" s="183"/>
      <c r="C3133" s="25"/>
      <c r="D3133" s="25"/>
      <c r="E3133" s="26"/>
      <c r="F3133" s="27"/>
      <c r="G3133" s="19" t="s">
        <v>1079</v>
      </c>
      <c r="H3133" s="27"/>
      <c r="I3133" s="23" t="str">
        <f>IF(ISNUMBER(G3133),E3133*G3133,"")</f>
        <v/>
      </c>
      <c r="J3133" s="24"/>
      <c r="K3133" s="19"/>
      <c r="L3133" s="174">
        <v>0</v>
      </c>
    </row>
    <row r="3134" spans="1:12" ht="15.75" thickBot="1" x14ac:dyDescent="0.3">
      <c r="A3134" s="288" t="s">
        <v>1807</v>
      </c>
      <c r="B3134" s="289" t="str">
        <f>INDEX(Orçamentária!A:B,MATCH(Composições!A3134,Orçamentária!A:A,0),2)</f>
        <v>Tampa em ferro fundido T33</v>
      </c>
      <c r="C3134" s="274"/>
      <c r="D3134" s="265" t="str">
        <f>TRIM(INDEX(Orçamentária!C:C,MATCH(Composições!A3134,Orçamentária!A:A,0),1))</f>
        <v>un</v>
      </c>
      <c r="E3134" s="290"/>
      <c r="F3134" s="259" t="s">
        <v>1808</v>
      </c>
      <c r="G3134" s="260" t="s">
        <v>1079</v>
      </c>
      <c r="H3134" s="261"/>
      <c r="I3134" s="261" t="str">
        <f>IF(ISNUMBER(G3134),E3134*G3134,"")</f>
        <v/>
      </c>
      <c r="J3134" s="280"/>
      <c r="K3134" s="18"/>
      <c r="L3134" s="174">
        <v>3</v>
      </c>
    </row>
    <row r="3135" spans="1:12" x14ac:dyDescent="0.25">
      <c r="A3135" s="291"/>
      <c r="B3135" s="292"/>
      <c r="C3135" s="155"/>
      <c r="D3135" s="155"/>
      <c r="E3135" s="293"/>
      <c r="F3135" s="294"/>
      <c r="G3135" s="262" t="s">
        <v>1079</v>
      </c>
      <c r="H3135" s="155"/>
      <c r="I3135" s="258" t="str">
        <f>IF(ISNUMBER(G3135),E3135*G3135,"")</f>
        <v/>
      </c>
      <c r="J3135" s="281"/>
      <c r="K3135" s="19"/>
      <c r="L3135" s="174">
        <v>3</v>
      </c>
    </row>
    <row r="3136" spans="1:12" ht="25.5" x14ac:dyDescent="0.25">
      <c r="A3136" s="291"/>
      <c r="B3136" s="292"/>
      <c r="C3136" s="105" t="s">
        <v>1809</v>
      </c>
      <c r="D3136" s="271" t="s">
        <v>588</v>
      </c>
      <c r="E3136" s="250">
        <v>1</v>
      </c>
      <c r="F3136" s="176" t="s">
        <v>1810</v>
      </c>
      <c r="G3136" s="257">
        <v>152.17099999999999</v>
      </c>
      <c r="H3136" s="176" t="s">
        <v>1811</v>
      </c>
      <c r="I3136" s="258">
        <f>IF(ISNUMBER(G3136),E3136*G3136,"")</f>
        <v>152.17099999999999</v>
      </c>
      <c r="J3136" s="295">
        <f>SUM(I3136:I3139)</f>
        <v>211.33734335089997</v>
      </c>
      <c r="K3136" s="29"/>
      <c r="L3136" s="174">
        <v>3</v>
      </c>
    </row>
    <row r="3137" spans="1:12" ht="38.25" x14ac:dyDescent="0.25">
      <c r="A3137" s="291"/>
      <c r="B3137" s="292"/>
      <c r="C3137" s="105" t="s">
        <v>1812</v>
      </c>
      <c r="D3137" s="271" t="s">
        <v>252</v>
      </c>
      <c r="E3137" s="250">
        <v>7.0000000000000001E-3</v>
      </c>
      <c r="F3137" s="176" t="s">
        <v>1810</v>
      </c>
      <c r="G3137" s="257">
        <v>324.27047869999996</v>
      </c>
      <c r="H3137" s="176" t="s">
        <v>1813</v>
      </c>
      <c r="I3137" s="258">
        <f>IF(ISNUMBER(G3137),E3137*G3137,"")</f>
        <v>2.2698933508999999</v>
      </c>
      <c r="J3137" s="281"/>
      <c r="K3137" s="19"/>
      <c r="L3137" s="174">
        <v>3</v>
      </c>
    </row>
    <row r="3138" spans="1:12" x14ac:dyDescent="0.25">
      <c r="A3138" s="291"/>
      <c r="B3138" s="292"/>
      <c r="C3138" s="105" t="s">
        <v>36</v>
      </c>
      <c r="D3138" s="105" t="s">
        <v>21</v>
      </c>
      <c r="E3138" s="250">
        <v>1.7</v>
      </c>
      <c r="F3138" s="176" t="s">
        <v>1810</v>
      </c>
      <c r="G3138" s="257">
        <v>19.142499999999998</v>
      </c>
      <c r="H3138" s="176" t="s">
        <v>37</v>
      </c>
      <c r="I3138" s="258">
        <f>IF(ISNUMBER(G3138),E3138*G3138,"")</f>
        <v>32.542249999999996</v>
      </c>
      <c r="J3138" s="281"/>
      <c r="K3138" s="19"/>
      <c r="L3138" s="174">
        <v>3</v>
      </c>
    </row>
    <row r="3139" spans="1:12" x14ac:dyDescent="0.25">
      <c r="A3139" s="291"/>
      <c r="B3139" s="292"/>
      <c r="C3139" s="105" t="s">
        <v>38</v>
      </c>
      <c r="D3139" s="105" t="s">
        <v>21</v>
      </c>
      <c r="E3139" s="250">
        <v>1.7</v>
      </c>
      <c r="F3139" s="176" t="s">
        <v>1810</v>
      </c>
      <c r="G3139" s="257">
        <v>14.325999999999999</v>
      </c>
      <c r="H3139" s="176" t="s">
        <v>39</v>
      </c>
      <c r="I3139" s="258">
        <f>IF(ISNUMBER(G3139),E3139*G3139,"")</f>
        <v>24.354199999999999</v>
      </c>
      <c r="J3139" s="281"/>
      <c r="K3139" s="19"/>
      <c r="L3139" s="174">
        <v>3</v>
      </c>
    </row>
    <row r="3140" spans="1:12" ht="15.75" thickBot="1" x14ac:dyDescent="0.3">
      <c r="A3140" s="296"/>
      <c r="B3140" s="297"/>
      <c r="C3140" s="275"/>
      <c r="D3140" s="275"/>
      <c r="E3140" s="310"/>
      <c r="F3140" s="263"/>
      <c r="G3140" s="264" t="s">
        <v>1079</v>
      </c>
      <c r="H3140" s="263"/>
      <c r="I3140" s="266" t="str">
        <f>IF(ISNUMBER(G3140),E3140*G3140,"")</f>
        <v/>
      </c>
      <c r="J3140" s="284"/>
      <c r="K3140" s="19"/>
      <c r="L3140" s="174">
        <v>3</v>
      </c>
    </row>
    <row r="3141" spans="1:12" ht="15.75" hidden="1" thickBot="1" x14ac:dyDescent="0.3">
      <c r="A3141" s="186" t="s">
        <v>1814</v>
      </c>
      <c r="B3141" s="179" t="str">
        <f>INDEX(Orçamentária!A:B,MATCH(Composições!A3141,Orçamentária!A:A,0),2)</f>
        <v>Arquiteto(a) com experiência em intervenção no patrimônio cultural</v>
      </c>
      <c r="C3141" s="157"/>
      <c r="D3141" s="13" t="str">
        <f>TRIM(INDEX(Orçamentária!C:C,MATCH(Composições!A3141,Orçamentária!A:A,0),1))</f>
        <v>hh</v>
      </c>
      <c r="E3141" s="65"/>
      <c r="F3141" s="66" t="s">
        <v>19</v>
      </c>
      <c r="G3141" s="67" t="s">
        <v>1079</v>
      </c>
      <c r="H3141" s="67"/>
      <c r="I3141" s="67" t="str">
        <f>IF(ISNUMBER(G3141),E3141*G3141,"")</f>
        <v/>
      </c>
      <c r="J3141" s="68"/>
      <c r="K3141" s="18"/>
      <c r="L3141" s="174">
        <v>0</v>
      </c>
    </row>
    <row r="3142" spans="1:12" ht="15.75" hidden="1" thickBot="1" x14ac:dyDescent="0.3">
      <c r="A3142" s="181"/>
      <c r="B3142" s="179"/>
      <c r="C3142" s="20"/>
      <c r="D3142" s="20"/>
      <c r="E3142" s="21"/>
      <c r="F3142" s="22"/>
      <c r="G3142" s="19" t="s">
        <v>1079</v>
      </c>
      <c r="H3142" s="20"/>
      <c r="I3142" s="23" t="str">
        <f>IF(ISNUMBER(G3142),E3142*G3142,"")</f>
        <v/>
      </c>
      <c r="J3142" s="24"/>
      <c r="K3142" s="19"/>
      <c r="L3142" s="174">
        <v>0</v>
      </c>
    </row>
    <row r="3143" spans="1:12" ht="15.75" hidden="1" thickBot="1" x14ac:dyDescent="0.3">
      <c r="A3143" s="181"/>
      <c r="B3143" s="179"/>
      <c r="C3143" s="25" t="s">
        <v>1815</v>
      </c>
      <c r="D3143" s="25" t="s">
        <v>21</v>
      </c>
      <c r="E3143" s="26">
        <v>1</v>
      </c>
      <c r="F3143" s="27" t="s">
        <v>17</v>
      </c>
      <c r="G3143" s="19">
        <v>74.565499999999986</v>
      </c>
      <c r="H3143" s="27" t="s">
        <v>1816</v>
      </c>
      <c r="I3143" s="23">
        <f>IF(ISNUMBER(G3143),E3143*G3143,"")</f>
        <v>74.565499999999986</v>
      </c>
      <c r="J3143" s="28">
        <f>SUM(I3143:I3143)</f>
        <v>74.565499999999986</v>
      </c>
      <c r="K3143" s="29"/>
      <c r="L3143" s="174">
        <v>0</v>
      </c>
    </row>
    <row r="3144" spans="1:12" ht="15.75" hidden="1" thickBot="1" x14ac:dyDescent="0.3">
      <c r="A3144" s="182"/>
      <c r="B3144" s="183"/>
      <c r="C3144" s="25"/>
      <c r="D3144" s="25"/>
      <c r="E3144" s="26"/>
      <c r="F3144" s="27"/>
      <c r="G3144" s="19" t="s">
        <v>1079</v>
      </c>
      <c r="H3144" s="27"/>
      <c r="I3144" s="23" t="str">
        <f>IF(ISNUMBER(G3144),E3144*G3144,"")</f>
        <v/>
      </c>
      <c r="J3144" s="24"/>
      <c r="K3144" s="19"/>
      <c r="L3144" s="174">
        <v>0</v>
      </c>
    </row>
    <row r="3145" spans="1:12" ht="15.75" hidden="1" thickBot="1" x14ac:dyDescent="0.3">
      <c r="A3145" s="180" t="s">
        <v>1817</v>
      </c>
      <c r="B3145" s="178" t="str">
        <f>INDEX(Orçamentária!A:B,MATCH(Composições!A3145,Orçamentária!A:A,0),2)</f>
        <v>Locação de andaime suspenso tipo leve</v>
      </c>
      <c r="C3145" s="30"/>
      <c r="D3145" s="13" t="str">
        <f>TRIM(INDEX(Orçamentária!C:C,MATCH(Composições!A3145,Orçamentária!A:A,0),1))</f>
        <v>un x mês</v>
      </c>
      <c r="E3145" s="14"/>
      <c r="F3145" s="15" t="s">
        <v>1818</v>
      </c>
      <c r="G3145" s="31" t="s">
        <v>1079</v>
      </c>
      <c r="H3145" s="16"/>
      <c r="I3145" s="16" t="str">
        <f>IF(ISNUMBER(G3145),E3145*G3145,"")</f>
        <v/>
      </c>
      <c r="J3145" s="17"/>
      <c r="K3145" s="18"/>
      <c r="L3145" s="174">
        <v>0</v>
      </c>
    </row>
    <row r="3146" spans="1:12" ht="15.75" hidden="1" thickBot="1" x14ac:dyDescent="0.3">
      <c r="A3146" s="186"/>
      <c r="B3146" s="179"/>
      <c r="C3146" s="20"/>
      <c r="D3146" s="20"/>
      <c r="E3146" s="21"/>
      <c r="F3146" s="22"/>
      <c r="G3146" s="32" t="s">
        <v>1079</v>
      </c>
      <c r="H3146" s="20"/>
      <c r="I3146" s="23" t="str">
        <f>IF(ISNUMBER(G3146),E3146*G3146,"")</f>
        <v/>
      </c>
      <c r="J3146" s="24"/>
      <c r="K3146" s="19"/>
      <c r="L3146" s="174">
        <v>0</v>
      </c>
    </row>
    <row r="3147" spans="1:12" ht="39" hidden="1" thickBot="1" x14ac:dyDescent="0.3">
      <c r="A3147" s="186"/>
      <c r="B3147" s="179"/>
      <c r="C3147" s="25" t="s">
        <v>1819</v>
      </c>
      <c r="D3147" s="25" t="s">
        <v>263</v>
      </c>
      <c r="E3147" s="26">
        <v>1</v>
      </c>
      <c r="F3147" s="27" t="s">
        <v>1818</v>
      </c>
      <c r="G3147" s="19">
        <v>570</v>
      </c>
      <c r="H3147" s="27" t="s">
        <v>1818</v>
      </c>
      <c r="I3147" s="23">
        <f>IF(ISNUMBER(G3147),E3147*G3147,"")</f>
        <v>570</v>
      </c>
      <c r="J3147" s="28">
        <f>SUM(I3147:I3147)</f>
        <v>570</v>
      </c>
      <c r="K3147" s="29"/>
      <c r="L3147" s="174">
        <v>0</v>
      </c>
    </row>
    <row r="3148" spans="1:12" ht="15.75" hidden="1" thickBot="1" x14ac:dyDescent="0.3">
      <c r="A3148" s="187"/>
      <c r="B3148" s="183"/>
      <c r="C3148" s="25"/>
      <c r="D3148" s="25"/>
      <c r="E3148" s="26"/>
      <c r="F3148" s="27"/>
      <c r="G3148" s="19" t="s">
        <v>1079</v>
      </c>
      <c r="H3148" s="27"/>
      <c r="I3148" s="23" t="str">
        <f>IF(ISNUMBER(G3148),E3148*G3148,"")</f>
        <v/>
      </c>
      <c r="J3148" s="24"/>
      <c r="K3148" s="19"/>
      <c r="L3148" s="174">
        <v>0</v>
      </c>
    </row>
    <row r="3149" spans="1:12" ht="15.75" hidden="1" thickBot="1" x14ac:dyDescent="0.3">
      <c r="A3149" s="180" t="s">
        <v>1820</v>
      </c>
      <c r="B3149" s="178" t="str">
        <f>INDEX(Orçamentária!A:B,MATCH(Composições!A3149,Orçamentária!A:A,0),2)</f>
        <v>Limpeza de superfície por hidrojateamento de média pressão</v>
      </c>
      <c r="C3149" s="30"/>
      <c r="D3149" s="13" t="str">
        <f>TRIM(INDEX(Orçamentária!C:C,MATCH(Composições!A3149,Orçamentária!A:A,0),1))</f>
        <v>m2</v>
      </c>
      <c r="E3149" s="14"/>
      <c r="F3149" s="15" t="s">
        <v>1821</v>
      </c>
      <c r="G3149" s="31" t="s">
        <v>1079</v>
      </c>
      <c r="H3149" s="16"/>
      <c r="I3149" s="16" t="str">
        <f>IF(ISNUMBER(G3149),E3149*G3149,"")</f>
        <v/>
      </c>
      <c r="J3149" s="17"/>
      <c r="K3149" s="18"/>
      <c r="L3149" s="174">
        <v>0</v>
      </c>
    </row>
    <row r="3150" spans="1:12" ht="15.75" hidden="1" thickBot="1" x14ac:dyDescent="0.3">
      <c r="A3150" s="181"/>
      <c r="B3150" s="179"/>
      <c r="C3150" s="20"/>
      <c r="D3150" s="20"/>
      <c r="E3150" s="21"/>
      <c r="F3150" s="22"/>
      <c r="G3150" s="32" t="s">
        <v>1079</v>
      </c>
      <c r="H3150" s="20"/>
      <c r="I3150" s="23" t="str">
        <f>IF(ISNUMBER(G3150),E3150*G3150,"")</f>
        <v/>
      </c>
      <c r="J3150" s="24"/>
      <c r="K3150" s="19"/>
      <c r="L3150" s="174">
        <v>0</v>
      </c>
    </row>
    <row r="3151" spans="1:12" ht="15.75" hidden="1" thickBot="1" x14ac:dyDescent="0.3">
      <c r="A3151" s="181"/>
      <c r="B3151" s="179"/>
      <c r="C3151" s="25" t="s">
        <v>38</v>
      </c>
      <c r="D3151" s="25" t="s">
        <v>21</v>
      </c>
      <c r="E3151" s="26">
        <v>8.8999999999999996E-2</v>
      </c>
      <c r="F3151" s="27" t="s">
        <v>1821</v>
      </c>
      <c r="G3151" s="19">
        <v>14.325999999999999</v>
      </c>
      <c r="H3151" s="27" t="s">
        <v>39</v>
      </c>
      <c r="I3151" s="23">
        <f>IF(ISNUMBER(G3151),E3151*G3151,"")</f>
        <v>1.2750139999999999</v>
      </c>
      <c r="J3151" s="28">
        <f>SUM(I3151:I3152)</f>
        <v>1.2894064999999999</v>
      </c>
      <c r="K3151" s="29"/>
      <c r="L3151" s="174">
        <v>0</v>
      </c>
    </row>
    <row r="3152" spans="1:12" ht="39" hidden="1" thickBot="1" x14ac:dyDescent="0.3">
      <c r="A3152" s="181"/>
      <c r="B3152" s="179"/>
      <c r="C3152" s="25" t="s">
        <v>1822</v>
      </c>
      <c r="D3152" s="25" t="s">
        <v>59</v>
      </c>
      <c r="E3152" s="26">
        <v>1.4999999999999999E-2</v>
      </c>
      <c r="F3152" s="27" t="s">
        <v>1821</v>
      </c>
      <c r="G3152" s="19">
        <v>0.95949999999999991</v>
      </c>
      <c r="H3152" s="27" t="s">
        <v>1823</v>
      </c>
      <c r="I3152" s="23">
        <f>IF(ISNUMBER(G3152),E3152*G3152,"")</f>
        <v>1.4392499999999997E-2</v>
      </c>
      <c r="J3152" s="24"/>
      <c r="K3152" s="19"/>
      <c r="L3152" s="174">
        <v>0</v>
      </c>
    </row>
    <row r="3153" spans="1:12" ht="15.75" hidden="1" thickBot="1" x14ac:dyDescent="0.3">
      <c r="A3153" s="182"/>
      <c r="B3153" s="183"/>
      <c r="C3153" s="25"/>
      <c r="D3153" s="25"/>
      <c r="E3153" s="26"/>
      <c r="F3153" s="27"/>
      <c r="G3153" s="19" t="s">
        <v>1079</v>
      </c>
      <c r="H3153" s="27"/>
      <c r="I3153" s="23" t="str">
        <f>IF(ISNUMBER(G3153),E3153*G3153,"")</f>
        <v/>
      </c>
      <c r="J3153" s="24"/>
      <c r="K3153" s="19"/>
      <c r="L3153" s="174">
        <v>0</v>
      </c>
    </row>
    <row r="3154" spans="1:12" ht="15.75" hidden="1" thickBot="1" x14ac:dyDescent="0.3">
      <c r="A3154" s="180" t="s">
        <v>1824</v>
      </c>
      <c r="B3154" s="178" t="str">
        <f>INDEX(Orçamentária!A:B,MATCH(Composições!A3154,Orçamentária!A:A,0),2)</f>
        <v>Inspeção da integridade e adesão de placas de rocha ornamental por percussão</v>
      </c>
      <c r="C3154" s="30"/>
      <c r="D3154" s="13" t="str">
        <f>TRIM(INDEX(Orçamentária!C:C,MATCH(Composições!A3154,Orçamentária!A:A,0),1))</f>
        <v>m2</v>
      </c>
      <c r="E3154" s="14"/>
      <c r="F3154" s="15" t="s">
        <v>17</v>
      </c>
      <c r="G3154" s="40" t="s">
        <v>1079</v>
      </c>
      <c r="H3154" s="16"/>
      <c r="I3154" s="16" t="str">
        <f>IF(ISNUMBER(G3154),E3154*G3154,"")</f>
        <v/>
      </c>
      <c r="J3154" s="17"/>
      <c r="K3154" s="18"/>
      <c r="L3154" s="174">
        <v>0</v>
      </c>
    </row>
    <row r="3155" spans="1:12" ht="15.75" hidden="1" thickBot="1" x14ac:dyDescent="0.3">
      <c r="A3155" s="181"/>
      <c r="B3155" s="179"/>
      <c r="C3155" s="20"/>
      <c r="D3155" s="20"/>
      <c r="E3155" s="21"/>
      <c r="F3155" s="22"/>
      <c r="G3155" s="46" t="s">
        <v>1079</v>
      </c>
      <c r="H3155" s="1"/>
      <c r="I3155" s="46" t="str">
        <f>IF(ISNUMBER(G3155),E3155*G3155,"")</f>
        <v/>
      </c>
      <c r="J3155" s="69"/>
      <c r="K3155" s="70"/>
      <c r="L3155" s="174">
        <v>0</v>
      </c>
    </row>
    <row r="3156" spans="1:12" ht="15.75" hidden="1" thickBot="1" x14ac:dyDescent="0.3">
      <c r="A3156" s="181"/>
      <c r="B3156" s="179"/>
      <c r="C3156" s="25" t="s">
        <v>101</v>
      </c>
      <c r="D3156" s="25" t="s">
        <v>21</v>
      </c>
      <c r="E3156" s="26">
        <v>0.25</v>
      </c>
      <c r="F3156" s="27" t="s">
        <v>17</v>
      </c>
      <c r="G3156" s="46">
        <v>16.093</v>
      </c>
      <c r="H3156" s="27" t="s">
        <v>103</v>
      </c>
      <c r="I3156" s="46">
        <f>IF(ISNUMBER(G3156),E3156*G3156,"")</f>
        <v>4.02325</v>
      </c>
      <c r="J3156" s="28">
        <f>SUM(I3156:I3157)</f>
        <v>4.02325</v>
      </c>
      <c r="K3156" s="29"/>
      <c r="L3156" s="174">
        <v>0</v>
      </c>
    </row>
    <row r="3157" spans="1:12" ht="15.75" hidden="1" thickBot="1" x14ac:dyDescent="0.3">
      <c r="A3157" s="182"/>
      <c r="B3157" s="183"/>
      <c r="C3157" s="25"/>
      <c r="D3157" s="25"/>
      <c r="E3157" s="26"/>
      <c r="F3157" s="27"/>
      <c r="G3157" s="46" t="s">
        <v>1079</v>
      </c>
      <c r="H3157" s="1"/>
      <c r="I3157" s="46" t="str">
        <f>IF(ISNUMBER(G3157),E3157*G3157,"")</f>
        <v/>
      </c>
      <c r="J3157" s="69"/>
      <c r="K3157" s="70"/>
      <c r="L3157" s="174">
        <v>0</v>
      </c>
    </row>
    <row r="3158" spans="1:12" ht="15.75" hidden="1" thickBot="1" x14ac:dyDescent="0.3">
      <c r="A3158" s="180" t="s">
        <v>1825</v>
      </c>
      <c r="B3158" s="178" t="str">
        <f>INDEX(Orçamentária!A:B,MATCH(Composições!A3158,Orçamentária!A:A,0),2)</f>
        <v>Demolição de proteção mecânica de impermeabilização</v>
      </c>
      <c r="C3158" s="30"/>
      <c r="D3158" s="13" t="str">
        <f>TRIM(INDEX(Orçamentária!C:C,MATCH(Composições!A3158,Orçamentária!A:A,0),1))</f>
        <v>m2</v>
      </c>
      <c r="E3158" s="14"/>
      <c r="F3158" s="15" t="s">
        <v>67</v>
      </c>
      <c r="G3158" s="40" t="s">
        <v>1079</v>
      </c>
      <c r="H3158" s="16"/>
      <c r="I3158" s="16" t="str">
        <f>IF(ISNUMBER(G3158),E3158*G3158,"")</f>
        <v/>
      </c>
      <c r="J3158" s="17"/>
      <c r="K3158" s="18"/>
      <c r="L3158" s="174">
        <v>0</v>
      </c>
    </row>
    <row r="3159" spans="1:12" ht="15.75" hidden="1" thickBot="1" x14ac:dyDescent="0.3">
      <c r="A3159" s="181"/>
      <c r="B3159" s="179"/>
      <c r="C3159" s="20"/>
      <c r="D3159" s="20"/>
      <c r="E3159" s="21"/>
      <c r="F3159" s="22"/>
      <c r="G3159" s="46" t="s">
        <v>1079</v>
      </c>
      <c r="H3159" s="1"/>
      <c r="I3159" s="46" t="str">
        <f>IF(ISNUMBER(G3159),E3159*G3159,"")</f>
        <v/>
      </c>
      <c r="J3159" s="69"/>
      <c r="K3159" s="70"/>
      <c r="L3159" s="174">
        <v>0</v>
      </c>
    </row>
    <row r="3160" spans="1:12" ht="15.75" hidden="1" thickBot="1" x14ac:dyDescent="0.3">
      <c r="A3160" s="181"/>
      <c r="B3160" s="179"/>
      <c r="C3160" s="25" t="s">
        <v>36</v>
      </c>
      <c r="D3160" s="25" t="s">
        <v>1366</v>
      </c>
      <c r="E3160" s="26">
        <v>3.7400000000000003E-2</v>
      </c>
      <c r="F3160" s="27" t="s">
        <v>67</v>
      </c>
      <c r="G3160" s="46">
        <v>19.142499999999998</v>
      </c>
      <c r="H3160" s="27" t="s">
        <v>37</v>
      </c>
      <c r="I3160" s="46">
        <f>IF(ISNUMBER(G3160),E3160*G3160,"")</f>
        <v>0.7159295</v>
      </c>
      <c r="J3160" s="28">
        <f>SUM(I3160:I3161)</f>
        <v>2.2244573000000001</v>
      </c>
      <c r="K3160" s="29"/>
      <c r="L3160" s="174">
        <v>0</v>
      </c>
    </row>
    <row r="3161" spans="1:12" ht="15.75" hidden="1" thickBot="1" x14ac:dyDescent="0.3">
      <c r="A3161" s="181"/>
      <c r="B3161" s="179"/>
      <c r="C3161" s="25" t="s">
        <v>38</v>
      </c>
      <c r="D3161" s="25" t="s">
        <v>1366</v>
      </c>
      <c r="E3161" s="26">
        <v>0.1053</v>
      </c>
      <c r="F3161" s="27" t="s">
        <v>67</v>
      </c>
      <c r="G3161" s="46">
        <v>14.325999999999999</v>
      </c>
      <c r="H3161" s="27" t="s">
        <v>39</v>
      </c>
      <c r="I3161" s="46">
        <f>IF(ISNUMBER(G3161),E3161*G3161,"")</f>
        <v>1.5085278</v>
      </c>
      <c r="J3161" s="69"/>
      <c r="K3161" s="70"/>
      <c r="L3161" s="174">
        <v>0</v>
      </c>
    </row>
    <row r="3162" spans="1:12" ht="15.75" hidden="1" thickBot="1" x14ac:dyDescent="0.3">
      <c r="A3162" s="182"/>
      <c r="B3162" s="183"/>
      <c r="C3162" s="25"/>
      <c r="D3162" s="25"/>
      <c r="E3162" s="26"/>
      <c r="F3162" s="27"/>
      <c r="G3162" s="46" t="s">
        <v>1079</v>
      </c>
      <c r="H3162" s="1"/>
      <c r="I3162" s="46" t="str">
        <f>IF(ISNUMBER(G3162),E3162*G3162,"")</f>
        <v/>
      </c>
      <c r="J3162" s="69"/>
      <c r="K3162" s="70"/>
      <c r="L3162" s="174">
        <v>0</v>
      </c>
    </row>
    <row r="3163" spans="1:12" ht="15.75" hidden="1" thickBot="1" x14ac:dyDescent="0.3">
      <c r="A3163" s="180" t="s">
        <v>1826</v>
      </c>
      <c r="B3163" s="178" t="str">
        <f>INDEX(Orçamentária!A:B,MATCH(Composições!A3163,Orçamentária!A:A,0),2)</f>
        <v>Impermeabilização com emulsão asfáltica</v>
      </c>
      <c r="C3163" s="30"/>
      <c r="D3163" s="13" t="str">
        <f>TRIM(INDEX(Orçamentária!C:C,MATCH(Composições!A3163,Orçamentária!A:A,0),1))</f>
        <v>m2</v>
      </c>
      <c r="E3163" s="14"/>
      <c r="F3163" s="15" t="s">
        <v>1827</v>
      </c>
      <c r="G3163" s="40" t="s">
        <v>1079</v>
      </c>
      <c r="H3163" s="16"/>
      <c r="I3163" s="16" t="str">
        <f>IF(ISNUMBER(G3163),E3163*G3163,"")</f>
        <v/>
      </c>
      <c r="J3163" s="17"/>
      <c r="K3163" s="18"/>
      <c r="L3163" s="174">
        <v>0</v>
      </c>
    </row>
    <row r="3164" spans="1:12" ht="15.75" hidden="1" thickBot="1" x14ac:dyDescent="0.3">
      <c r="A3164" s="181"/>
      <c r="B3164" s="179"/>
      <c r="C3164" s="20"/>
      <c r="D3164" s="20"/>
      <c r="E3164" s="21"/>
      <c r="F3164" s="22"/>
      <c r="G3164" s="46" t="s">
        <v>1079</v>
      </c>
      <c r="H3164" s="1"/>
      <c r="I3164" s="46" t="str">
        <f>IF(ISNUMBER(G3164),E3164*G3164,"")</f>
        <v/>
      </c>
      <c r="J3164" s="69"/>
      <c r="K3164" s="70"/>
      <c r="L3164" s="174">
        <v>0</v>
      </c>
    </row>
    <row r="3165" spans="1:12" ht="39" hidden="1" thickBot="1" x14ac:dyDescent="0.3">
      <c r="A3165" s="181"/>
      <c r="B3165" s="179"/>
      <c r="C3165" s="25" t="s">
        <v>1828</v>
      </c>
      <c r="D3165" s="25" t="s">
        <v>1629</v>
      </c>
      <c r="E3165" s="26">
        <v>1.5</v>
      </c>
      <c r="F3165" s="27" t="s">
        <v>1827</v>
      </c>
      <c r="G3165" s="46">
        <v>14.078999999999999</v>
      </c>
      <c r="H3165" s="27" t="s">
        <v>1829</v>
      </c>
      <c r="I3165" s="46">
        <f>IF(ISNUMBER(G3165),E3165*G3165,"")</f>
        <v>21.118499999999997</v>
      </c>
      <c r="J3165" s="28">
        <f>SUM(I3165:I3167)</f>
        <v>30.631562499999998</v>
      </c>
      <c r="K3165" s="29"/>
      <c r="L3165" s="174">
        <v>0</v>
      </c>
    </row>
    <row r="3166" spans="1:12" ht="15.75" hidden="1" thickBot="1" x14ac:dyDescent="0.3">
      <c r="A3166" s="181"/>
      <c r="B3166" s="179"/>
      <c r="C3166" s="25" t="s">
        <v>1830</v>
      </c>
      <c r="D3166" s="25" t="s">
        <v>1366</v>
      </c>
      <c r="E3166" s="26">
        <v>8.5000000000000006E-2</v>
      </c>
      <c r="F3166" s="27" t="s">
        <v>1827</v>
      </c>
      <c r="G3166" s="46">
        <v>16.881499999999999</v>
      </c>
      <c r="H3166" s="27" t="s">
        <v>93</v>
      </c>
      <c r="I3166" s="46">
        <f>IF(ISNUMBER(G3166),E3166*G3166,"")</f>
        <v>1.4349275000000001</v>
      </c>
      <c r="J3166" s="69"/>
      <c r="K3166" s="70"/>
      <c r="L3166" s="174">
        <v>0</v>
      </c>
    </row>
    <row r="3167" spans="1:12" ht="15.75" hidden="1" thickBot="1" x14ac:dyDescent="0.3">
      <c r="A3167" s="181"/>
      <c r="B3167" s="179"/>
      <c r="C3167" s="25" t="s">
        <v>1831</v>
      </c>
      <c r="D3167" s="25" t="s">
        <v>1366</v>
      </c>
      <c r="E3167" s="26">
        <v>0.42199999999999999</v>
      </c>
      <c r="F3167" s="27" t="s">
        <v>1827</v>
      </c>
      <c r="G3167" s="46">
        <v>19.142499999999998</v>
      </c>
      <c r="H3167" s="27" t="s">
        <v>314</v>
      </c>
      <c r="I3167" s="46">
        <f>IF(ISNUMBER(G3167),E3167*G3167,"")</f>
        <v>8.0781349999999996</v>
      </c>
      <c r="J3167" s="69"/>
      <c r="K3167" s="70"/>
      <c r="L3167" s="174">
        <v>0</v>
      </c>
    </row>
    <row r="3168" spans="1:12" ht="15.75" hidden="1" thickBot="1" x14ac:dyDescent="0.3">
      <c r="A3168" s="182"/>
      <c r="B3168" s="183"/>
      <c r="C3168" s="25"/>
      <c r="D3168" s="25"/>
      <c r="E3168" s="26"/>
      <c r="F3168" s="27"/>
      <c r="G3168" s="46" t="s">
        <v>1079</v>
      </c>
      <c r="H3168" s="1"/>
      <c r="I3168" s="46" t="str">
        <f>IF(ISNUMBER(G3168),E3168*G3168,"")</f>
        <v/>
      </c>
      <c r="J3168" s="69"/>
      <c r="K3168" s="70"/>
      <c r="L3168" s="174">
        <v>0</v>
      </c>
    </row>
    <row r="3169" spans="1:12" ht="15.75" hidden="1" thickBot="1" x14ac:dyDescent="0.3">
      <c r="A3169" s="180" t="s">
        <v>1832</v>
      </c>
      <c r="B3169" s="178" t="str">
        <f>INDEX(Orçamentária!A:B,MATCH(Composições!A3169,Orçamentária!A:A,0),2)</f>
        <v>Camada de proteção mecânica simples de impermeabilização</v>
      </c>
      <c r="C3169" s="30"/>
      <c r="D3169" s="13" t="str">
        <f>TRIM(INDEX(Orçamentária!C:C,MATCH(Composições!A3169,Orçamentária!A:A,0),1))</f>
        <v>m2</v>
      </c>
      <c r="E3169" s="14"/>
      <c r="F3169" s="15" t="s">
        <v>1833</v>
      </c>
      <c r="G3169" s="40" t="s">
        <v>1079</v>
      </c>
      <c r="H3169" s="16"/>
      <c r="I3169" s="16" t="str">
        <f>IF(ISNUMBER(G3169),E3169*G3169,"")</f>
        <v/>
      </c>
      <c r="J3169" s="17"/>
      <c r="K3169" s="18"/>
      <c r="L3169" s="174">
        <v>0</v>
      </c>
    </row>
    <row r="3170" spans="1:12" ht="15.75" hidden="1" thickBot="1" x14ac:dyDescent="0.3">
      <c r="A3170" s="181"/>
      <c r="B3170" s="179"/>
      <c r="C3170" s="20"/>
      <c r="D3170" s="20"/>
      <c r="E3170" s="21"/>
      <c r="F3170" s="22"/>
      <c r="G3170" s="46" t="s">
        <v>1079</v>
      </c>
      <c r="H3170" s="1"/>
      <c r="I3170" s="46" t="str">
        <f>IF(ISNUMBER(G3170),E3170*G3170,"")</f>
        <v/>
      </c>
      <c r="J3170" s="69"/>
      <c r="K3170" s="70"/>
      <c r="L3170" s="174">
        <v>0</v>
      </c>
    </row>
    <row r="3171" spans="1:12" ht="15.75" hidden="1" thickBot="1" x14ac:dyDescent="0.3">
      <c r="A3171" s="181"/>
      <c r="B3171" s="179"/>
      <c r="C3171" s="25" t="s">
        <v>1834</v>
      </c>
      <c r="D3171" s="25" t="s">
        <v>1795</v>
      </c>
      <c r="E3171" s="26">
        <v>1.04</v>
      </c>
      <c r="F3171" s="27" t="s">
        <v>1833</v>
      </c>
      <c r="G3171" s="46">
        <v>1.4344999999999999</v>
      </c>
      <c r="H3171" s="27" t="s">
        <v>1835</v>
      </c>
      <c r="I3171" s="46">
        <f>IF(ISNUMBER(G3171),E3171*G3171,"")</f>
        <v>1.4918799999999999</v>
      </c>
      <c r="J3171" s="28">
        <f>SUM(I3171:I3174)</f>
        <v>34.391361468749999</v>
      </c>
      <c r="K3171" s="29"/>
      <c r="L3171" s="174">
        <v>0</v>
      </c>
    </row>
    <row r="3172" spans="1:12" ht="26.25" hidden="1" thickBot="1" x14ac:dyDescent="0.3">
      <c r="A3172" s="181"/>
      <c r="B3172" s="179"/>
      <c r="C3172" s="25" t="s">
        <v>1836</v>
      </c>
      <c r="D3172" s="25" t="s">
        <v>252</v>
      </c>
      <c r="E3172" s="26">
        <v>3.5000000000000003E-2</v>
      </c>
      <c r="F3172" s="27" t="s">
        <v>1833</v>
      </c>
      <c r="G3172" s="46">
        <v>525.12045624999996</v>
      </c>
      <c r="H3172" s="27" t="s">
        <v>1837</v>
      </c>
      <c r="I3172" s="46">
        <f>IF(ISNUMBER(G3172),E3172*G3172,"")</f>
        <v>18.37921596875</v>
      </c>
      <c r="J3172" s="69"/>
      <c r="K3172" s="70"/>
      <c r="L3172" s="174">
        <v>0</v>
      </c>
    </row>
    <row r="3173" spans="1:12" ht="15.75" hidden="1" thickBot="1" x14ac:dyDescent="0.3">
      <c r="A3173" s="181"/>
      <c r="B3173" s="179"/>
      <c r="C3173" s="25" t="s">
        <v>36</v>
      </c>
      <c r="D3173" s="25" t="s">
        <v>1366</v>
      </c>
      <c r="E3173" s="26">
        <v>0.65900000000000003</v>
      </c>
      <c r="F3173" s="27" t="s">
        <v>1833</v>
      </c>
      <c r="G3173" s="46">
        <v>19.142499999999998</v>
      </c>
      <c r="H3173" s="27" t="s">
        <v>37</v>
      </c>
      <c r="I3173" s="46">
        <f>IF(ISNUMBER(G3173),E3173*G3173,"")</f>
        <v>12.614907499999999</v>
      </c>
      <c r="J3173" s="69"/>
      <c r="K3173" s="70"/>
      <c r="L3173" s="174">
        <v>0</v>
      </c>
    </row>
    <row r="3174" spans="1:12" ht="15.75" hidden="1" thickBot="1" x14ac:dyDescent="0.3">
      <c r="A3174" s="181"/>
      <c r="B3174" s="179"/>
      <c r="C3174" s="25" t="s">
        <v>38</v>
      </c>
      <c r="D3174" s="25" t="s">
        <v>1366</v>
      </c>
      <c r="E3174" s="26">
        <v>0.13300000000000001</v>
      </c>
      <c r="F3174" s="27" t="s">
        <v>1833</v>
      </c>
      <c r="G3174" s="46">
        <v>14.325999999999999</v>
      </c>
      <c r="H3174" s="27" t="s">
        <v>39</v>
      </c>
      <c r="I3174" s="46">
        <f>IF(ISNUMBER(G3174),E3174*G3174,"")</f>
        <v>1.9053579999999999</v>
      </c>
      <c r="J3174" s="69"/>
      <c r="K3174" s="70"/>
      <c r="L3174" s="174">
        <v>0</v>
      </c>
    </row>
    <row r="3175" spans="1:12" ht="15.75" hidden="1" thickBot="1" x14ac:dyDescent="0.3">
      <c r="A3175" s="182"/>
      <c r="B3175" s="183"/>
      <c r="C3175" s="25"/>
      <c r="D3175" s="25"/>
      <c r="E3175" s="26"/>
      <c r="F3175" s="27"/>
      <c r="G3175" s="46" t="s">
        <v>1079</v>
      </c>
      <c r="H3175" s="27"/>
      <c r="I3175" s="46" t="str">
        <f>IF(ISNUMBER(G3175),E3175*G3175,"")</f>
        <v/>
      </c>
      <c r="J3175" s="69"/>
      <c r="K3175" s="70"/>
      <c r="L3175" s="174">
        <v>0</v>
      </c>
    </row>
    <row r="3176" spans="1:12" ht="15.75" hidden="1" thickBot="1" x14ac:dyDescent="0.3">
      <c r="A3176" s="180" t="s">
        <v>1838</v>
      </c>
      <c r="B3176" s="178" t="str">
        <f>INDEX(Orçamentária!A:B,MATCH(Composições!A3176,Orçamentária!A:A,0),2)</f>
        <v>Camada de proteção mecânica estruturada de impermeabilização</v>
      </c>
      <c r="C3176" s="30"/>
      <c r="D3176" s="13" t="str">
        <f>TRIM(INDEX(Orçamentária!C:C,MATCH(Composições!A3176,Orçamentária!A:A,0),1))</f>
        <v>m2</v>
      </c>
      <c r="E3176" s="14"/>
      <c r="F3176" s="15" t="s">
        <v>1839</v>
      </c>
      <c r="G3176" s="40" t="s">
        <v>1079</v>
      </c>
      <c r="H3176" s="16"/>
      <c r="I3176" s="16" t="str">
        <f>IF(ISNUMBER(G3176),E3176*G3176,"")</f>
        <v/>
      </c>
      <c r="J3176" s="17"/>
      <c r="K3176" s="18"/>
      <c r="L3176" s="174">
        <v>0</v>
      </c>
    </row>
    <row r="3177" spans="1:12" ht="15.75" hidden="1" thickBot="1" x14ac:dyDescent="0.3">
      <c r="A3177" s="181"/>
      <c r="B3177" s="179"/>
      <c r="C3177" s="20"/>
      <c r="D3177" s="20"/>
      <c r="E3177" s="21"/>
      <c r="F3177" s="22"/>
      <c r="G3177" s="46" t="s">
        <v>1079</v>
      </c>
      <c r="H3177" s="20"/>
      <c r="I3177" s="46" t="str">
        <f>IF(ISNUMBER(G3177),E3177*G3177,"")</f>
        <v/>
      </c>
      <c r="J3177" s="69"/>
      <c r="K3177" s="70"/>
      <c r="L3177" s="174">
        <v>0</v>
      </c>
    </row>
    <row r="3178" spans="1:12" ht="26.25" hidden="1" thickBot="1" x14ac:dyDescent="0.3">
      <c r="A3178" s="181"/>
      <c r="B3178" s="179"/>
      <c r="C3178" s="25" t="s">
        <v>1840</v>
      </c>
      <c r="D3178" s="25" t="s">
        <v>1795</v>
      </c>
      <c r="E3178" s="26">
        <v>1.05</v>
      </c>
      <c r="F3178" s="27" t="s">
        <v>1839</v>
      </c>
      <c r="G3178" s="46">
        <v>7.0204999999999993</v>
      </c>
      <c r="H3178" s="27" t="s">
        <v>1841</v>
      </c>
      <c r="I3178" s="46">
        <f>IF(ISNUMBER(G3178),E3178*G3178,"")</f>
        <v>7.3715249999999992</v>
      </c>
      <c r="J3178" s="28">
        <f>SUM(I3178:I3181)</f>
        <v>41.313963968749995</v>
      </c>
      <c r="K3178" s="29"/>
      <c r="L3178" s="174">
        <v>0</v>
      </c>
    </row>
    <row r="3179" spans="1:12" ht="26.25" hidden="1" thickBot="1" x14ac:dyDescent="0.3">
      <c r="A3179" s="181"/>
      <c r="B3179" s="179"/>
      <c r="C3179" s="25" t="s">
        <v>1836</v>
      </c>
      <c r="D3179" s="25" t="s">
        <v>252</v>
      </c>
      <c r="E3179" s="26">
        <v>3.5000000000000003E-2</v>
      </c>
      <c r="F3179" s="27" t="s">
        <v>1839</v>
      </c>
      <c r="G3179" s="46">
        <v>525.12045624999996</v>
      </c>
      <c r="H3179" s="27" t="s">
        <v>1837</v>
      </c>
      <c r="I3179" s="46">
        <f>IF(ISNUMBER(G3179),E3179*G3179,"")</f>
        <v>18.37921596875</v>
      </c>
      <c r="J3179" s="69"/>
      <c r="K3179" s="70"/>
      <c r="L3179" s="174">
        <v>0</v>
      </c>
    </row>
    <row r="3180" spans="1:12" ht="15.75" hidden="1" thickBot="1" x14ac:dyDescent="0.3">
      <c r="A3180" s="181"/>
      <c r="B3180" s="179"/>
      <c r="C3180" s="25" t="s">
        <v>36</v>
      </c>
      <c r="D3180" s="25" t="s">
        <v>1366</v>
      </c>
      <c r="E3180" s="26">
        <v>0.70599999999999996</v>
      </c>
      <c r="F3180" s="27" t="s">
        <v>1839</v>
      </c>
      <c r="G3180" s="46">
        <v>19.142499999999998</v>
      </c>
      <c r="H3180" s="27" t="s">
        <v>37</v>
      </c>
      <c r="I3180" s="46">
        <f>IF(ISNUMBER(G3180),E3180*G3180,"")</f>
        <v>13.514604999999998</v>
      </c>
      <c r="J3180" s="69"/>
      <c r="K3180" s="70"/>
      <c r="L3180" s="174">
        <v>0</v>
      </c>
    </row>
    <row r="3181" spans="1:12" ht="15.75" hidden="1" thickBot="1" x14ac:dyDescent="0.3">
      <c r="A3181" s="181"/>
      <c r="B3181" s="179"/>
      <c r="C3181" s="25" t="s">
        <v>38</v>
      </c>
      <c r="D3181" s="25" t="s">
        <v>1366</v>
      </c>
      <c r="E3181" s="26">
        <v>0.14299999999999999</v>
      </c>
      <c r="F3181" s="27" t="s">
        <v>1839</v>
      </c>
      <c r="G3181" s="46">
        <v>14.325999999999999</v>
      </c>
      <c r="H3181" s="27" t="s">
        <v>39</v>
      </c>
      <c r="I3181" s="46">
        <f>IF(ISNUMBER(G3181),E3181*G3181,"")</f>
        <v>2.0486179999999998</v>
      </c>
      <c r="J3181" s="69"/>
      <c r="K3181" s="70"/>
      <c r="L3181" s="174">
        <v>0</v>
      </c>
    </row>
    <row r="3182" spans="1:12" ht="15.75" hidden="1" thickBot="1" x14ac:dyDescent="0.3">
      <c r="A3182" s="182"/>
      <c r="B3182" s="183"/>
      <c r="C3182" s="25"/>
      <c r="D3182" s="25"/>
      <c r="E3182" s="26"/>
      <c r="F3182" s="27"/>
      <c r="G3182" s="46" t="s">
        <v>1079</v>
      </c>
      <c r="H3182" s="27"/>
      <c r="I3182" s="46" t="str">
        <f>IF(ISNUMBER(G3182),E3182*G3182,"")</f>
        <v/>
      </c>
      <c r="J3182" s="69"/>
      <c r="K3182" s="70"/>
      <c r="L3182" s="174">
        <v>0</v>
      </c>
    </row>
    <row r="3183" spans="1:12" ht="15.75" hidden="1" thickBot="1" x14ac:dyDescent="0.3">
      <c r="A3183" s="180" t="s">
        <v>1842</v>
      </c>
      <c r="B3183" s="178" t="str">
        <f>INDEX(Orçamentária!A:B,MATCH(Composições!A3183,Orçamentária!A:A,0),2)</f>
        <v>Remoção de placas  de mármore encaixadas por fixadores metálicos (modelo Ed. Principal)</v>
      </c>
      <c r="C3183" s="30"/>
      <c r="D3183" s="13" t="str">
        <f>TRIM(INDEX(Orçamentária!C:C,MATCH(Composições!A3183,Orçamentária!A:A,0),1))</f>
        <v>m2</v>
      </c>
      <c r="E3183" s="14"/>
      <c r="F3183" s="15" t="s">
        <v>17</v>
      </c>
      <c r="G3183" s="40" t="s">
        <v>1079</v>
      </c>
      <c r="H3183" s="16"/>
      <c r="I3183" s="16" t="str">
        <f>IF(ISNUMBER(G3183),E3183*G3183,"")</f>
        <v/>
      </c>
      <c r="J3183" s="17"/>
      <c r="K3183" s="18"/>
      <c r="L3183" s="174">
        <v>0</v>
      </c>
    </row>
    <row r="3184" spans="1:12" ht="15.75" hidden="1" thickBot="1" x14ac:dyDescent="0.3">
      <c r="A3184" s="181"/>
      <c r="B3184" s="179"/>
      <c r="C3184" s="20"/>
      <c r="D3184" s="20"/>
      <c r="E3184" s="21"/>
      <c r="F3184" s="22"/>
      <c r="G3184" s="46" t="s">
        <v>1079</v>
      </c>
      <c r="H3184" s="20"/>
      <c r="I3184" s="46" t="str">
        <f>IF(ISNUMBER(G3184),E3184*G3184,"")</f>
        <v/>
      </c>
      <c r="J3184" s="69"/>
      <c r="K3184" s="70"/>
      <c r="L3184" s="174">
        <v>0</v>
      </c>
    </row>
    <row r="3185" spans="1:12" ht="15.75" hidden="1" thickBot="1" x14ac:dyDescent="0.3">
      <c r="A3185" s="181"/>
      <c r="B3185" s="179"/>
      <c r="C3185" s="25" t="s">
        <v>101</v>
      </c>
      <c r="D3185" s="25" t="s">
        <v>21</v>
      </c>
      <c r="E3185" s="26">
        <v>0.4</v>
      </c>
      <c r="F3185" s="27" t="s">
        <v>17</v>
      </c>
      <c r="G3185" s="46">
        <v>16.093</v>
      </c>
      <c r="H3185" s="27" t="s">
        <v>103</v>
      </c>
      <c r="I3185" s="46">
        <f>IF(ISNUMBER(G3185),E3185*G3185,"")</f>
        <v>6.4372000000000007</v>
      </c>
      <c r="J3185" s="28">
        <f>SUM(I3185:I3186)</f>
        <v>12.1676</v>
      </c>
      <c r="K3185" s="29"/>
      <c r="L3185" s="174">
        <v>0</v>
      </c>
    </row>
    <row r="3186" spans="1:12" ht="15.75" hidden="1" thickBot="1" x14ac:dyDescent="0.3">
      <c r="A3186" s="181"/>
      <c r="B3186" s="179"/>
      <c r="C3186" s="25" t="s">
        <v>38</v>
      </c>
      <c r="D3186" s="25" t="s">
        <v>21</v>
      </c>
      <c r="E3186" s="26">
        <v>0.4</v>
      </c>
      <c r="F3186" s="27" t="s">
        <v>17</v>
      </c>
      <c r="G3186" s="46">
        <v>14.325999999999999</v>
      </c>
      <c r="H3186" s="27" t="s">
        <v>39</v>
      </c>
      <c r="I3186" s="46">
        <f>IF(ISNUMBER(G3186),E3186*G3186,"")</f>
        <v>5.7303999999999995</v>
      </c>
      <c r="J3186" s="69"/>
      <c r="K3186" s="70"/>
      <c r="L3186" s="174">
        <v>0</v>
      </c>
    </row>
    <row r="3187" spans="1:12" ht="15.75" hidden="1" thickBot="1" x14ac:dyDescent="0.3">
      <c r="A3187" s="182"/>
      <c r="B3187" s="183"/>
      <c r="C3187" s="25"/>
      <c r="D3187" s="25"/>
      <c r="E3187" s="26"/>
      <c r="F3187" s="27"/>
      <c r="G3187" s="46" t="s">
        <v>1079</v>
      </c>
      <c r="H3187" s="27"/>
      <c r="I3187" s="46" t="str">
        <f>IF(ISNUMBER(G3187),E3187*G3187,"")</f>
        <v/>
      </c>
      <c r="J3187" s="69"/>
      <c r="K3187" s="70"/>
      <c r="L3187" s="174">
        <v>0</v>
      </c>
    </row>
    <row r="3188" spans="1:12" ht="15.75" hidden="1" thickBot="1" x14ac:dyDescent="0.3">
      <c r="A3188" s="180" t="s">
        <v>1843</v>
      </c>
      <c r="B3188" s="178" t="str">
        <f>INDEX(Orçamentária!A:B,MATCH(Composições!A3188,Orçamentária!A:A,0),2)</f>
        <v>Remoção de placas de rocha ornamental argamassada, para reaproveitamento</v>
      </c>
      <c r="C3188" s="30"/>
      <c r="D3188" s="13" t="str">
        <f>TRIM(INDEX(Orçamentária!C:C,MATCH(Composições!A3188,Orçamentária!A:A,0),1))</f>
        <v>m2</v>
      </c>
      <c r="E3188" s="14"/>
      <c r="F3188" s="15" t="s">
        <v>17</v>
      </c>
      <c r="G3188" s="40" t="s">
        <v>1079</v>
      </c>
      <c r="H3188" s="16"/>
      <c r="I3188" s="16" t="str">
        <f>IF(ISNUMBER(G3188),E3188*G3188,"")</f>
        <v/>
      </c>
      <c r="J3188" s="17"/>
      <c r="K3188" s="18"/>
      <c r="L3188" s="174">
        <v>0</v>
      </c>
    </row>
    <row r="3189" spans="1:12" ht="15.75" hidden="1" thickBot="1" x14ac:dyDescent="0.3">
      <c r="A3189" s="181"/>
      <c r="B3189" s="179"/>
      <c r="C3189" s="20"/>
      <c r="D3189" s="20"/>
      <c r="E3189" s="21"/>
      <c r="F3189" s="22"/>
      <c r="G3189" s="46" t="s">
        <v>1079</v>
      </c>
      <c r="H3189" s="20"/>
      <c r="I3189" s="46" t="str">
        <f>IF(ISNUMBER(G3189),E3189*G3189,"")</f>
        <v/>
      </c>
      <c r="J3189" s="69"/>
      <c r="K3189" s="70"/>
      <c r="L3189" s="174">
        <v>0</v>
      </c>
    </row>
    <row r="3190" spans="1:12" ht="15.75" hidden="1" thickBot="1" x14ac:dyDescent="0.3">
      <c r="A3190" s="181"/>
      <c r="B3190" s="179"/>
      <c r="C3190" s="25" t="s">
        <v>101</v>
      </c>
      <c r="D3190" s="25" t="s">
        <v>21</v>
      </c>
      <c r="E3190" s="26">
        <v>1.2</v>
      </c>
      <c r="F3190" s="27" t="s">
        <v>17</v>
      </c>
      <c r="G3190" s="46">
        <v>16.093</v>
      </c>
      <c r="H3190" s="27" t="s">
        <v>103</v>
      </c>
      <c r="I3190" s="46">
        <f>IF(ISNUMBER(G3190),E3190*G3190,"")</f>
        <v>19.311599999999999</v>
      </c>
      <c r="J3190" s="28">
        <f>SUM(I3190:I3191)</f>
        <v>36.502799999999993</v>
      </c>
      <c r="K3190" s="29"/>
      <c r="L3190" s="174">
        <v>0</v>
      </c>
    </row>
    <row r="3191" spans="1:12" ht="15.75" hidden="1" thickBot="1" x14ac:dyDescent="0.3">
      <c r="A3191" s="181"/>
      <c r="B3191" s="179"/>
      <c r="C3191" s="25" t="s">
        <v>38</v>
      </c>
      <c r="D3191" s="25" t="s">
        <v>21</v>
      </c>
      <c r="E3191" s="26">
        <v>1.2</v>
      </c>
      <c r="F3191" s="27" t="s">
        <v>17</v>
      </c>
      <c r="G3191" s="46">
        <v>14.325999999999999</v>
      </c>
      <c r="H3191" s="27" t="s">
        <v>39</v>
      </c>
      <c r="I3191" s="46">
        <f>IF(ISNUMBER(G3191),E3191*G3191,"")</f>
        <v>17.191199999999998</v>
      </c>
      <c r="J3191" s="69"/>
      <c r="K3191" s="70"/>
      <c r="L3191" s="174">
        <v>0</v>
      </c>
    </row>
    <row r="3192" spans="1:12" ht="15.75" hidden="1" thickBot="1" x14ac:dyDescent="0.3">
      <c r="A3192" s="182"/>
      <c r="B3192" s="183"/>
      <c r="C3192" s="25"/>
      <c r="D3192" s="25"/>
      <c r="E3192" s="26"/>
      <c r="F3192" s="27"/>
      <c r="G3192" s="46" t="s">
        <v>1079</v>
      </c>
      <c r="H3192" s="27"/>
      <c r="I3192" s="46" t="str">
        <f>IF(ISNUMBER(G3192),E3192*G3192,"")</f>
        <v/>
      </c>
      <c r="J3192" s="69"/>
      <c r="K3192" s="70"/>
      <c r="L3192" s="174">
        <v>0</v>
      </c>
    </row>
    <row r="3193" spans="1:12" ht="15.75" hidden="1" thickBot="1" x14ac:dyDescent="0.3">
      <c r="A3193" s="180" t="s">
        <v>1844</v>
      </c>
      <c r="B3193" s="178" t="str">
        <f>INDEX(Orçamentária!A:B,MATCH(Composições!A3193,Orçamentária!A:A,0),2)</f>
        <v>Identificação e acondicionamento de placas de rocha ornamental</v>
      </c>
      <c r="C3193" s="30"/>
      <c r="D3193" s="13" t="str">
        <f>TRIM(INDEX(Orçamentária!C:C,MATCH(Composições!A3193,Orçamentária!A:A,0),1))</f>
        <v>m2</v>
      </c>
      <c r="E3193" s="14"/>
      <c r="F3193" s="15" t="s">
        <v>17</v>
      </c>
      <c r="G3193" s="40" t="s">
        <v>1079</v>
      </c>
      <c r="H3193" s="16"/>
      <c r="I3193" s="16" t="str">
        <f>IF(ISNUMBER(G3193),E3193*G3193,"")</f>
        <v/>
      </c>
      <c r="J3193" s="17"/>
      <c r="K3193" s="18"/>
      <c r="L3193" s="174">
        <v>0</v>
      </c>
    </row>
    <row r="3194" spans="1:12" ht="15.75" hidden="1" thickBot="1" x14ac:dyDescent="0.3">
      <c r="A3194" s="181"/>
      <c r="B3194" s="179"/>
      <c r="C3194" s="20"/>
      <c r="D3194" s="20"/>
      <c r="E3194" s="21"/>
      <c r="F3194" s="22"/>
      <c r="G3194" s="46" t="s">
        <v>1079</v>
      </c>
      <c r="H3194" s="20"/>
      <c r="I3194" s="46" t="str">
        <f>IF(ISNUMBER(G3194),E3194*G3194,"")</f>
        <v/>
      </c>
      <c r="J3194" s="69"/>
      <c r="K3194" s="70"/>
      <c r="L3194" s="174">
        <v>0</v>
      </c>
    </row>
    <row r="3195" spans="1:12" ht="15.75" hidden="1" thickBot="1" x14ac:dyDescent="0.3">
      <c r="A3195" s="181"/>
      <c r="B3195" s="179"/>
      <c r="C3195" s="25" t="s">
        <v>1845</v>
      </c>
      <c r="D3195" s="25" t="s">
        <v>189</v>
      </c>
      <c r="E3195" s="26">
        <v>1.05</v>
      </c>
      <c r="F3195" s="27" t="s">
        <v>17</v>
      </c>
      <c r="G3195" s="46">
        <v>3.7905000000000002</v>
      </c>
      <c r="H3195" s="27" t="s">
        <v>1846</v>
      </c>
      <c r="I3195" s="46">
        <f>IF(ISNUMBER(G3195),E3195*G3195,"")</f>
        <v>3.9800250000000004</v>
      </c>
      <c r="J3195" s="28">
        <f>SUM(I3195:I3196)</f>
        <v>6.8452250000000001</v>
      </c>
      <c r="K3195" s="29"/>
      <c r="L3195" s="174">
        <v>0</v>
      </c>
    </row>
    <row r="3196" spans="1:12" ht="15.75" hidden="1" thickBot="1" x14ac:dyDescent="0.3">
      <c r="A3196" s="181"/>
      <c r="B3196" s="179"/>
      <c r="C3196" s="25" t="s">
        <v>38</v>
      </c>
      <c r="D3196" s="25" t="s">
        <v>21</v>
      </c>
      <c r="E3196" s="26">
        <v>0.2</v>
      </c>
      <c r="F3196" s="27" t="s">
        <v>17</v>
      </c>
      <c r="G3196" s="46">
        <v>14.325999999999999</v>
      </c>
      <c r="H3196" s="27" t="s">
        <v>39</v>
      </c>
      <c r="I3196" s="46">
        <f>IF(ISNUMBER(G3196),E3196*G3196,"")</f>
        <v>2.8651999999999997</v>
      </c>
      <c r="J3196" s="69"/>
      <c r="K3196" s="70"/>
      <c r="L3196" s="174">
        <v>0</v>
      </c>
    </row>
    <row r="3197" spans="1:12" ht="15.75" hidden="1" thickBot="1" x14ac:dyDescent="0.3">
      <c r="A3197" s="182"/>
      <c r="B3197" s="183"/>
      <c r="C3197" s="25"/>
      <c r="D3197" s="25"/>
      <c r="E3197" s="26"/>
      <c r="F3197" s="27"/>
      <c r="G3197" s="46" t="s">
        <v>1079</v>
      </c>
      <c r="H3197" s="27"/>
      <c r="I3197" s="46" t="str">
        <f>IF(ISNUMBER(G3197),E3197*G3197,"")</f>
        <v/>
      </c>
      <c r="J3197" s="69"/>
      <c r="K3197" s="70"/>
      <c r="L3197" s="174">
        <v>0</v>
      </c>
    </row>
    <row r="3198" spans="1:12" ht="15.75" hidden="1" thickBot="1" x14ac:dyDescent="0.3">
      <c r="A3198" s="180" t="s">
        <v>1847</v>
      </c>
      <c r="B3198" s="178" t="str">
        <f>INDEX(Orçamentária!A:B,MATCH(Composições!A3198,Orçamentária!A:A,0),2)</f>
        <v>Limpeza de placas de rocha ornamental argamassada, para reaproveitamento</v>
      </c>
      <c r="C3198" s="30"/>
      <c r="D3198" s="13" t="str">
        <f>TRIM(INDEX(Orçamentária!C:C,MATCH(Composições!A3198,Orçamentária!A:A,0),1))</f>
        <v>m2</v>
      </c>
      <c r="E3198" s="14"/>
      <c r="F3198" s="15" t="s">
        <v>17</v>
      </c>
      <c r="G3198" s="40" t="s">
        <v>1079</v>
      </c>
      <c r="H3198" s="16"/>
      <c r="I3198" s="16" t="str">
        <f>IF(ISNUMBER(G3198),E3198*G3198,"")</f>
        <v/>
      </c>
      <c r="J3198" s="17"/>
      <c r="K3198" s="18"/>
      <c r="L3198" s="174">
        <v>0</v>
      </c>
    </row>
    <row r="3199" spans="1:12" ht="15.75" hidden="1" thickBot="1" x14ac:dyDescent="0.3">
      <c r="A3199" s="181"/>
      <c r="B3199" s="179"/>
      <c r="C3199" s="20"/>
      <c r="D3199" s="20"/>
      <c r="E3199" s="21"/>
      <c r="F3199" s="22"/>
      <c r="G3199" s="46" t="s">
        <v>1079</v>
      </c>
      <c r="H3199" s="20"/>
      <c r="I3199" s="46" t="str">
        <f>IF(ISNUMBER(G3199),E3199*G3199,"")</f>
        <v/>
      </c>
      <c r="J3199" s="69"/>
      <c r="K3199" s="70"/>
      <c r="L3199" s="174">
        <v>0</v>
      </c>
    </row>
    <row r="3200" spans="1:12" ht="15.75" hidden="1" thickBot="1" x14ac:dyDescent="0.3">
      <c r="A3200" s="181"/>
      <c r="B3200" s="179"/>
      <c r="C3200" s="25" t="s">
        <v>38</v>
      </c>
      <c r="D3200" s="25" t="s">
        <v>21</v>
      </c>
      <c r="E3200" s="26">
        <v>0.3</v>
      </c>
      <c r="F3200" s="27" t="s">
        <v>17</v>
      </c>
      <c r="G3200" s="46">
        <v>14.325999999999999</v>
      </c>
      <c r="H3200" s="27" t="s">
        <v>39</v>
      </c>
      <c r="I3200" s="46">
        <f>IF(ISNUMBER(G3200),E3200*G3200,"")</f>
        <v>4.2977999999999996</v>
      </c>
      <c r="J3200" s="28">
        <f>SUM(I3200)</f>
        <v>4.2977999999999996</v>
      </c>
      <c r="K3200" s="29"/>
      <c r="L3200" s="174">
        <v>0</v>
      </c>
    </row>
    <row r="3201" spans="1:12" ht="15.75" hidden="1" thickBot="1" x14ac:dyDescent="0.3">
      <c r="A3201" s="182"/>
      <c r="B3201" s="183"/>
      <c r="C3201" s="25"/>
      <c r="D3201" s="25"/>
      <c r="E3201" s="26"/>
      <c r="F3201" s="27"/>
      <c r="G3201" s="46" t="s">
        <v>1079</v>
      </c>
      <c r="H3201" s="27"/>
      <c r="I3201" s="46" t="str">
        <f>IF(ISNUMBER(G3201),E3201*G3201,"")</f>
        <v/>
      </c>
      <c r="J3201" s="69"/>
      <c r="K3201" s="70"/>
      <c r="L3201" s="174">
        <v>0</v>
      </c>
    </row>
    <row r="3202" spans="1:12" ht="15.75" hidden="1" thickBot="1" x14ac:dyDescent="0.3">
      <c r="A3202" s="180" t="s">
        <v>1848</v>
      </c>
      <c r="B3202" s="178" t="str">
        <f>INDEX(Orçamentária!A:B,MATCH(Composições!A3202,Orçamentária!A:A,0),2)</f>
        <v>Remoção e acondicionamento de fixadores metálicos para placas de mármore em fachada (modelo Ed. Principal)</v>
      </c>
      <c r="C3202" s="30"/>
      <c r="D3202" s="13" t="str">
        <f>TRIM(INDEX(Orçamentária!C:C,MATCH(Composições!A3202,Orçamentária!A:A,0),1))</f>
        <v>un</v>
      </c>
      <c r="E3202" s="14"/>
      <c r="F3202" s="15" t="s">
        <v>17</v>
      </c>
      <c r="G3202" s="40" t="s">
        <v>1079</v>
      </c>
      <c r="H3202" s="16"/>
      <c r="I3202" s="16" t="str">
        <f>IF(ISNUMBER(G3202),E3202*G3202,"")</f>
        <v/>
      </c>
      <c r="J3202" s="17"/>
      <c r="K3202" s="18"/>
      <c r="L3202" s="174">
        <v>0</v>
      </c>
    </row>
    <row r="3203" spans="1:12" ht="15.75" hidden="1" thickBot="1" x14ac:dyDescent="0.3">
      <c r="A3203" s="181"/>
      <c r="B3203" s="179"/>
      <c r="C3203" s="20"/>
      <c r="D3203" s="20"/>
      <c r="E3203" s="21"/>
      <c r="F3203" s="22"/>
      <c r="G3203" s="46" t="s">
        <v>1079</v>
      </c>
      <c r="H3203" s="20"/>
      <c r="I3203" s="46" t="str">
        <f>IF(ISNUMBER(G3203),E3203*G3203,"")</f>
        <v/>
      </c>
      <c r="J3203" s="69"/>
      <c r="K3203" s="70"/>
      <c r="L3203" s="174">
        <v>0</v>
      </c>
    </row>
    <row r="3204" spans="1:12" ht="15.75" hidden="1" thickBot="1" x14ac:dyDescent="0.3">
      <c r="A3204" s="181"/>
      <c r="B3204" s="179"/>
      <c r="C3204" s="25" t="s">
        <v>38</v>
      </c>
      <c r="D3204" s="25" t="s">
        <v>21</v>
      </c>
      <c r="E3204" s="26">
        <v>0.1</v>
      </c>
      <c r="F3204" s="27" t="s">
        <v>17</v>
      </c>
      <c r="G3204" s="46">
        <v>14.325999999999999</v>
      </c>
      <c r="H3204" s="27" t="s">
        <v>39</v>
      </c>
      <c r="I3204" s="46">
        <f>IF(ISNUMBER(G3204),E3204*G3204,"")</f>
        <v>1.4325999999999999</v>
      </c>
      <c r="J3204" s="28">
        <f>SUM(I3204)</f>
        <v>1.4325999999999999</v>
      </c>
      <c r="K3204" s="29"/>
      <c r="L3204" s="174">
        <v>0</v>
      </c>
    </row>
    <row r="3205" spans="1:12" ht="15.75" hidden="1" thickBot="1" x14ac:dyDescent="0.3">
      <c r="A3205" s="182"/>
      <c r="B3205" s="183"/>
      <c r="C3205" s="25"/>
      <c r="D3205" s="25"/>
      <c r="E3205" s="26"/>
      <c r="F3205" s="27"/>
      <c r="G3205" s="46" t="s">
        <v>1079</v>
      </c>
      <c r="H3205" s="27"/>
      <c r="I3205" s="46" t="str">
        <f>IF(ISNUMBER(G3205),E3205*G3205,"")</f>
        <v/>
      </c>
      <c r="J3205" s="69"/>
      <c r="K3205" s="70"/>
      <c r="L3205" s="174">
        <v>0</v>
      </c>
    </row>
    <row r="3206" spans="1:12" ht="15.75" hidden="1" thickBot="1" x14ac:dyDescent="0.3">
      <c r="A3206" s="180" t="s">
        <v>1849</v>
      </c>
      <c r="B3206" s="178" t="str">
        <f>INDEX(Orçamentária!A:B,MATCH(Composições!A3206,Orçamentária!A:A,0),2)</f>
        <v>Instalação de fixadores metálicos para placas de mármore em fachada reaproveitados (modelo Ed. Principal)</v>
      </c>
      <c r="C3206" s="30"/>
      <c r="D3206" s="13" t="str">
        <f>TRIM(INDEX(Orçamentária!C:C,MATCH(Composições!A3206,Orçamentária!A:A,0),1))</f>
        <v>un</v>
      </c>
      <c r="E3206" s="14"/>
      <c r="F3206" s="15" t="s">
        <v>17</v>
      </c>
      <c r="G3206" s="40" t="s">
        <v>1079</v>
      </c>
      <c r="H3206" s="16"/>
      <c r="I3206" s="16" t="str">
        <f>IF(ISNUMBER(G3206),E3206*G3206,"")</f>
        <v/>
      </c>
      <c r="J3206" s="17"/>
      <c r="K3206" s="18"/>
      <c r="L3206" s="174">
        <v>0</v>
      </c>
    </row>
    <row r="3207" spans="1:12" ht="15.75" hidden="1" thickBot="1" x14ac:dyDescent="0.3">
      <c r="A3207" s="181"/>
      <c r="B3207" s="179"/>
      <c r="C3207" s="20"/>
      <c r="D3207" s="20"/>
      <c r="E3207" s="21"/>
      <c r="F3207" s="22"/>
      <c r="G3207" s="46" t="s">
        <v>1079</v>
      </c>
      <c r="H3207" s="20"/>
      <c r="I3207" s="46" t="str">
        <f>IF(ISNUMBER(G3207),E3207*G3207,"")</f>
        <v/>
      </c>
      <c r="J3207" s="69"/>
      <c r="K3207" s="70"/>
      <c r="L3207" s="174">
        <v>0</v>
      </c>
    </row>
    <row r="3208" spans="1:12" ht="15.75" hidden="1" thickBot="1" x14ac:dyDescent="0.3">
      <c r="A3208" s="181"/>
      <c r="B3208" s="179"/>
      <c r="C3208" s="25" t="s">
        <v>36</v>
      </c>
      <c r="D3208" s="25" t="s">
        <v>21</v>
      </c>
      <c r="E3208" s="26">
        <f>0.1+0.1</f>
        <v>0.2</v>
      </c>
      <c r="F3208" s="27" t="s">
        <v>17</v>
      </c>
      <c r="G3208" s="46">
        <v>19.142499999999998</v>
      </c>
      <c r="H3208" s="27" t="s">
        <v>37</v>
      </c>
      <c r="I3208" s="46">
        <f>IF(ISNUMBER(G3208),E3208*G3208,"")</f>
        <v>3.8285</v>
      </c>
      <c r="J3208" s="28">
        <f>SUM(I3208:I3212)</f>
        <v>6.8275511296999998</v>
      </c>
      <c r="K3208" s="29"/>
      <c r="L3208" s="174">
        <v>0</v>
      </c>
    </row>
    <row r="3209" spans="1:12" ht="15.75" hidden="1" thickBot="1" x14ac:dyDescent="0.3">
      <c r="A3209" s="181"/>
      <c r="B3209" s="179"/>
      <c r="C3209" s="25" t="s">
        <v>38</v>
      </c>
      <c r="D3209" s="25" t="s">
        <v>21</v>
      </c>
      <c r="E3209" s="26">
        <f>0.1+0.1</f>
        <v>0.2</v>
      </c>
      <c r="F3209" s="27" t="s">
        <v>17</v>
      </c>
      <c r="G3209" s="46">
        <v>14.325999999999999</v>
      </c>
      <c r="H3209" s="27" t="s">
        <v>39</v>
      </c>
      <c r="I3209" s="46">
        <f>IF(ISNUMBER(G3209),E3209*G3209,"")</f>
        <v>2.8651999999999997</v>
      </c>
      <c r="J3209" s="69"/>
      <c r="K3209" s="70"/>
      <c r="L3209" s="174">
        <v>0</v>
      </c>
    </row>
    <row r="3210" spans="1:12" ht="15.75" hidden="1" thickBot="1" x14ac:dyDescent="0.3">
      <c r="A3210" s="181"/>
      <c r="B3210" s="179"/>
      <c r="C3210" s="25" t="s">
        <v>1850</v>
      </c>
      <c r="D3210" s="25" t="s">
        <v>305</v>
      </c>
      <c r="E3210" s="26">
        <f>0.016*2</f>
        <v>3.2000000000000001E-2</v>
      </c>
      <c r="F3210" s="27" t="s">
        <v>17</v>
      </c>
      <c r="G3210" s="46">
        <v>0</v>
      </c>
      <c r="H3210" s="27" t="s">
        <v>4600</v>
      </c>
      <c r="I3210" s="46">
        <f>IF(ISNUMBER(G3210),E3210*G3210,"")</f>
        <v>0</v>
      </c>
      <c r="J3210" s="69"/>
      <c r="K3210" s="70"/>
      <c r="L3210" s="174">
        <v>0</v>
      </c>
    </row>
    <row r="3211" spans="1:12" ht="15.75" hidden="1" thickBot="1" x14ac:dyDescent="0.3">
      <c r="A3211" s="181"/>
      <c r="B3211" s="179"/>
      <c r="C3211" s="25" t="s">
        <v>1851</v>
      </c>
      <c r="D3211" s="25" t="s">
        <v>1852</v>
      </c>
      <c r="E3211" s="26">
        <f>0.1*2</f>
        <v>0.2</v>
      </c>
      <c r="F3211" s="27" t="s">
        <v>17</v>
      </c>
      <c r="G3211" s="46">
        <v>0</v>
      </c>
      <c r="H3211" s="27" t="s">
        <v>4600</v>
      </c>
      <c r="I3211" s="46">
        <f>IF(ISNUMBER(G3211),E3211*G3211,"")</f>
        <v>0</v>
      </c>
      <c r="J3211" s="69"/>
      <c r="K3211" s="70"/>
      <c r="L3211" s="174">
        <v>0</v>
      </c>
    </row>
    <row r="3212" spans="1:12" ht="39" hidden="1" thickBot="1" x14ac:dyDescent="0.3">
      <c r="A3212" s="181"/>
      <c r="B3212" s="179"/>
      <c r="C3212" s="25" t="s">
        <v>1853</v>
      </c>
      <c r="D3212" s="25" t="s">
        <v>228</v>
      </c>
      <c r="E3212" s="26">
        <f>ROUND(0.15*0.05*0.05,4)</f>
        <v>4.0000000000000002E-4</v>
      </c>
      <c r="F3212" s="27" t="s">
        <v>17</v>
      </c>
      <c r="G3212" s="46">
        <v>334.62782424999995</v>
      </c>
      <c r="H3212" s="27" t="s">
        <v>1854</v>
      </c>
      <c r="I3212" s="46">
        <f>IF(ISNUMBER(G3212),E3212*G3212,"")</f>
        <v>0.13385112969999999</v>
      </c>
      <c r="J3212" s="69"/>
      <c r="K3212" s="70"/>
      <c r="L3212" s="174">
        <v>0</v>
      </c>
    </row>
    <row r="3213" spans="1:12" ht="15.75" hidden="1" thickBot="1" x14ac:dyDescent="0.3">
      <c r="A3213" s="181"/>
      <c r="B3213" s="179"/>
      <c r="C3213" s="25"/>
      <c r="D3213" s="25"/>
      <c r="E3213" s="26"/>
      <c r="F3213" s="27"/>
      <c r="G3213" s="46" t="s">
        <v>1079</v>
      </c>
      <c r="H3213" s="27"/>
      <c r="I3213" s="46" t="str">
        <f>IF(ISNUMBER(G3213),E3213*G3213,"")</f>
        <v/>
      </c>
      <c r="J3213" s="69"/>
      <c r="K3213" s="70"/>
      <c r="L3213" s="174">
        <v>0</v>
      </c>
    </row>
    <row r="3214" spans="1:12" ht="15.75" hidden="1" thickBot="1" x14ac:dyDescent="0.3">
      <c r="A3214" s="181"/>
      <c r="B3214" s="179"/>
      <c r="C3214" s="171" t="s">
        <v>1855</v>
      </c>
      <c r="D3214" s="25"/>
      <c r="E3214" s="26"/>
      <c r="F3214" s="27"/>
      <c r="G3214" s="46" t="s">
        <v>1079</v>
      </c>
      <c r="H3214" s="27"/>
      <c r="I3214" s="46" t="str">
        <f>IF(ISNUMBER(G3214),E3214*G3214,"")</f>
        <v/>
      </c>
      <c r="J3214" s="69"/>
      <c r="K3214" s="70"/>
      <c r="L3214" s="174">
        <v>0</v>
      </c>
    </row>
    <row r="3215" spans="1:12" ht="15.75" hidden="1" thickBot="1" x14ac:dyDescent="0.3">
      <c r="A3215" s="182"/>
      <c r="B3215" s="183"/>
      <c r="C3215" s="25"/>
      <c r="D3215" s="25"/>
      <c r="E3215" s="26"/>
      <c r="F3215" s="27"/>
      <c r="G3215" s="46" t="s">
        <v>1079</v>
      </c>
      <c r="H3215" s="27"/>
      <c r="I3215" s="46" t="str">
        <f>IF(ISNUMBER(G3215),E3215*G3215,"")</f>
        <v/>
      </c>
      <c r="J3215" s="69"/>
      <c r="K3215" s="70"/>
      <c r="L3215" s="174">
        <v>0</v>
      </c>
    </row>
    <row r="3216" spans="1:12" ht="15.75" hidden="1" thickBot="1" x14ac:dyDescent="0.3">
      <c r="A3216" s="180" t="s">
        <v>1856</v>
      </c>
      <c r="B3216" s="178" t="str">
        <f>INDEX(Orçamentária!A:B,MATCH(Composições!A3216,Orçamentária!A:A,0),2)</f>
        <v>Fixadores metálicos para rochas ornamentais (tipo Ed. Principal, peça superior)</v>
      </c>
      <c r="C3216" s="30"/>
      <c r="D3216" s="13" t="str">
        <f>TRIM(INDEX(Orçamentária!C:C,MATCH(Composições!A3216,Orçamentária!A:A,0),1))</f>
        <v>un</v>
      </c>
      <c r="E3216" s="14"/>
      <c r="F3216" s="15" t="s">
        <v>17</v>
      </c>
      <c r="G3216" s="40" t="s">
        <v>1079</v>
      </c>
      <c r="H3216" s="16"/>
      <c r="I3216" s="16" t="str">
        <f>IF(ISNUMBER(G3216),E3216*G3216,"")</f>
        <v/>
      </c>
      <c r="J3216" s="17"/>
      <c r="K3216" s="18"/>
      <c r="L3216" s="174">
        <v>0</v>
      </c>
    </row>
    <row r="3217" spans="1:12" ht="15.75" hidden="1" thickBot="1" x14ac:dyDescent="0.3">
      <c r="A3217" s="181"/>
      <c r="B3217" s="179"/>
      <c r="C3217" s="20"/>
      <c r="D3217" s="20"/>
      <c r="E3217" s="21"/>
      <c r="F3217" s="22"/>
      <c r="G3217" s="46" t="s">
        <v>1079</v>
      </c>
      <c r="H3217" s="20"/>
      <c r="I3217" s="46" t="str">
        <f>IF(ISNUMBER(G3217),E3217*G3217,"")</f>
        <v/>
      </c>
      <c r="J3217" s="69"/>
      <c r="K3217" s="70"/>
      <c r="L3217" s="174">
        <v>0</v>
      </c>
    </row>
    <row r="3218" spans="1:12" ht="15.75" hidden="1" thickBot="1" x14ac:dyDescent="0.3">
      <c r="A3218" s="181"/>
      <c r="B3218" s="179"/>
      <c r="C3218" s="25" t="s">
        <v>36</v>
      </c>
      <c r="D3218" s="25" t="s">
        <v>21</v>
      </c>
      <c r="E3218" s="26">
        <f>0.1+0.1</f>
        <v>0.2</v>
      </c>
      <c r="F3218" s="27" t="s">
        <v>17</v>
      </c>
      <c r="G3218" s="46">
        <v>19.142499999999998</v>
      </c>
      <c r="H3218" s="27" t="s">
        <v>37</v>
      </c>
      <c r="I3218" s="46">
        <f>IF(ISNUMBER(G3218),E3218*G3218,"")</f>
        <v>3.8285</v>
      </c>
      <c r="J3218" s="28">
        <f>SUM(I3218:I3223)</f>
        <v>6.8275511296999998</v>
      </c>
      <c r="K3218" s="29"/>
      <c r="L3218" s="174">
        <v>0</v>
      </c>
    </row>
    <row r="3219" spans="1:12" ht="15.75" hidden="1" thickBot="1" x14ac:dyDescent="0.3">
      <c r="A3219" s="181"/>
      <c r="B3219" s="179"/>
      <c r="C3219" s="25" t="s">
        <v>38</v>
      </c>
      <c r="D3219" s="25" t="s">
        <v>21</v>
      </c>
      <c r="E3219" s="26">
        <f>0.1+0.1</f>
        <v>0.2</v>
      </c>
      <c r="F3219" s="27" t="s">
        <v>17</v>
      </c>
      <c r="G3219" s="46">
        <v>14.325999999999999</v>
      </c>
      <c r="H3219" s="27" t="s">
        <v>39</v>
      </c>
      <c r="I3219" s="46">
        <f>IF(ISNUMBER(G3219),E3219*G3219,"")</f>
        <v>2.8651999999999997</v>
      </c>
      <c r="J3219" s="69"/>
      <c r="K3219" s="70"/>
      <c r="L3219" s="174">
        <v>0</v>
      </c>
    </row>
    <row r="3220" spans="1:12" ht="15.75" hidden="1" thickBot="1" x14ac:dyDescent="0.3">
      <c r="A3220" s="181"/>
      <c r="B3220" s="179"/>
      <c r="C3220" s="25" t="s">
        <v>1850</v>
      </c>
      <c r="D3220" s="25" t="s">
        <v>305</v>
      </c>
      <c r="E3220" s="26">
        <f>0.016*2</f>
        <v>3.2000000000000001E-2</v>
      </c>
      <c r="F3220" s="27" t="s">
        <v>17</v>
      </c>
      <c r="G3220" s="46">
        <v>0</v>
      </c>
      <c r="H3220" s="27" t="s">
        <v>4600</v>
      </c>
      <c r="I3220" s="46">
        <f>IF(ISNUMBER(G3220),E3220*G3220,"")</f>
        <v>0</v>
      </c>
      <c r="J3220" s="69"/>
      <c r="K3220" s="70"/>
      <c r="L3220" s="174">
        <v>0</v>
      </c>
    </row>
    <row r="3221" spans="1:12" ht="15.75" hidden="1" thickBot="1" x14ac:dyDescent="0.3">
      <c r="A3221" s="181"/>
      <c r="B3221" s="179"/>
      <c r="C3221" s="25" t="s">
        <v>1851</v>
      </c>
      <c r="D3221" s="25" t="s">
        <v>1852</v>
      </c>
      <c r="E3221" s="26">
        <f>0.1*2</f>
        <v>0.2</v>
      </c>
      <c r="F3221" s="27" t="s">
        <v>17</v>
      </c>
      <c r="G3221" s="46">
        <v>0</v>
      </c>
      <c r="H3221" s="27" t="s">
        <v>4600</v>
      </c>
      <c r="I3221" s="46">
        <f>IF(ISNUMBER(G3221),E3221*G3221,"")</f>
        <v>0</v>
      </c>
      <c r="J3221" s="69"/>
      <c r="K3221" s="70"/>
      <c r="L3221" s="174">
        <v>0</v>
      </c>
    </row>
    <row r="3222" spans="1:12" ht="15.75" hidden="1" thickBot="1" x14ac:dyDescent="0.3">
      <c r="A3222" s="181"/>
      <c r="B3222" s="179"/>
      <c r="C3222" s="25" t="s">
        <v>1857</v>
      </c>
      <c r="D3222" s="25" t="s">
        <v>305</v>
      </c>
      <c r="E3222" s="26">
        <v>1</v>
      </c>
      <c r="F3222" s="27" t="s">
        <v>17</v>
      </c>
      <c r="G3222" s="46" t="s">
        <v>1079</v>
      </c>
      <c r="H3222" s="27" t="s">
        <v>33</v>
      </c>
      <c r="I3222" s="46" t="str">
        <f>IF(ISNUMBER(G3222),E3222*G3222,"")</f>
        <v/>
      </c>
      <c r="J3222" s="69"/>
      <c r="K3222" s="70"/>
      <c r="L3222" s="174">
        <v>0</v>
      </c>
    </row>
    <row r="3223" spans="1:12" ht="39" hidden="1" thickBot="1" x14ac:dyDescent="0.3">
      <c r="A3223" s="181"/>
      <c r="B3223" s="179"/>
      <c r="C3223" s="25" t="s">
        <v>1853</v>
      </c>
      <c r="D3223" s="25" t="s">
        <v>228</v>
      </c>
      <c r="E3223" s="26">
        <f>ROUND(0.15*0.05*0.05,4)</f>
        <v>4.0000000000000002E-4</v>
      </c>
      <c r="F3223" s="27" t="s">
        <v>17</v>
      </c>
      <c r="G3223" s="46">
        <v>334.62782424999995</v>
      </c>
      <c r="H3223" s="27" t="s">
        <v>1854</v>
      </c>
      <c r="I3223" s="46">
        <f>IF(ISNUMBER(G3223),E3223*G3223,"")</f>
        <v>0.13385112969999999</v>
      </c>
      <c r="J3223" s="69"/>
      <c r="K3223" s="70"/>
      <c r="L3223" s="174">
        <v>0</v>
      </c>
    </row>
    <row r="3224" spans="1:12" ht="15.75" hidden="1" thickBot="1" x14ac:dyDescent="0.3">
      <c r="A3224" s="181"/>
      <c r="B3224" s="179"/>
      <c r="C3224" s="25"/>
      <c r="D3224" s="25"/>
      <c r="E3224" s="26"/>
      <c r="F3224" s="27"/>
      <c r="G3224" s="46" t="s">
        <v>1079</v>
      </c>
      <c r="H3224" s="1"/>
      <c r="I3224" s="46" t="str">
        <f>IF(ISNUMBER(G3224),E3224*G3224,"")</f>
        <v/>
      </c>
      <c r="J3224" s="69"/>
      <c r="K3224" s="70"/>
      <c r="L3224" s="174">
        <v>0</v>
      </c>
    </row>
    <row r="3225" spans="1:12" ht="15.75" hidden="1" thickBot="1" x14ac:dyDescent="0.3">
      <c r="A3225" s="181"/>
      <c r="B3225" s="179"/>
      <c r="C3225" s="171" t="s">
        <v>1855</v>
      </c>
      <c r="D3225" s="25"/>
      <c r="E3225" s="26"/>
      <c r="F3225" s="27"/>
      <c r="G3225" s="46" t="s">
        <v>1079</v>
      </c>
      <c r="H3225" s="1"/>
      <c r="I3225" s="46" t="str">
        <f>IF(ISNUMBER(G3225),E3225*G3225,"")</f>
        <v/>
      </c>
      <c r="J3225" s="69"/>
      <c r="K3225" s="70"/>
      <c r="L3225" s="174">
        <v>0</v>
      </c>
    </row>
    <row r="3226" spans="1:12" ht="15.75" hidden="1" thickBot="1" x14ac:dyDescent="0.3">
      <c r="A3226" s="182"/>
      <c r="B3226" s="183"/>
      <c r="C3226" s="25"/>
      <c r="D3226" s="25"/>
      <c r="E3226" s="26"/>
      <c r="F3226" s="27"/>
      <c r="G3226" s="46" t="s">
        <v>1079</v>
      </c>
      <c r="H3226" s="1"/>
      <c r="I3226" s="46" t="str">
        <f>IF(ISNUMBER(G3226),E3226*G3226,"")</f>
        <v/>
      </c>
      <c r="J3226" s="69"/>
      <c r="K3226" s="70"/>
      <c r="L3226" s="174">
        <v>0</v>
      </c>
    </row>
    <row r="3227" spans="1:12" ht="15.75" hidden="1" thickBot="1" x14ac:dyDescent="0.3">
      <c r="A3227" s="180" t="s">
        <v>1858</v>
      </c>
      <c r="B3227" s="178" t="str">
        <f>INDEX(Orçamentária!A:B,MATCH(Composições!A3227,Orçamentária!A:A,0),2)</f>
        <v>Mármore Branco Especial 20mm argamassado (Ed. Principal e Anexo 1)</v>
      </c>
      <c r="C3227" s="30"/>
      <c r="D3227" s="13" t="str">
        <f>TRIM(INDEX(Orçamentária!C:C,MATCH(Composições!A3227,Orçamentária!A:A,0),1))</f>
        <v>m2</v>
      </c>
      <c r="E3227" s="14"/>
      <c r="F3227" s="15" t="s">
        <v>1859</v>
      </c>
      <c r="G3227" s="40" t="s">
        <v>1079</v>
      </c>
      <c r="H3227" s="16"/>
      <c r="I3227" s="16" t="str">
        <f>IF(ISNUMBER(G3227),E3227*G3227,"")</f>
        <v/>
      </c>
      <c r="J3227" s="17"/>
      <c r="K3227" s="18"/>
      <c r="L3227" s="174">
        <v>0</v>
      </c>
    </row>
    <row r="3228" spans="1:12" ht="15.75" hidden="1" thickBot="1" x14ac:dyDescent="0.3">
      <c r="A3228" s="181"/>
      <c r="B3228" s="179"/>
      <c r="C3228" s="20"/>
      <c r="D3228" s="20"/>
      <c r="E3228" s="21"/>
      <c r="F3228" s="22"/>
      <c r="G3228" s="46" t="s">
        <v>1079</v>
      </c>
      <c r="H3228" s="1"/>
      <c r="I3228" s="46" t="str">
        <f>IF(ISNUMBER(G3228),E3228*G3228,"")</f>
        <v/>
      </c>
      <c r="J3228" s="69"/>
      <c r="K3228" s="70"/>
      <c r="L3228" s="174">
        <v>0</v>
      </c>
    </row>
    <row r="3229" spans="1:12" ht="15.75" hidden="1" thickBot="1" x14ac:dyDescent="0.3">
      <c r="A3229" s="181"/>
      <c r="B3229" s="179"/>
      <c r="C3229" s="25" t="s">
        <v>1860</v>
      </c>
      <c r="D3229" s="25" t="s">
        <v>189</v>
      </c>
      <c r="E3229" s="26">
        <v>1.05</v>
      </c>
      <c r="F3229" s="27" t="s">
        <v>1861</v>
      </c>
      <c r="G3229" s="46" t="s">
        <v>1079</v>
      </c>
      <c r="H3229" s="27" t="s">
        <v>33</v>
      </c>
      <c r="I3229" s="46" t="str">
        <f>IF(ISNUMBER(G3229),E3229*G3229,"")</f>
        <v/>
      </c>
      <c r="J3229" s="28">
        <f>SUM(I3229:I3233)</f>
        <v>36.189300000000003</v>
      </c>
      <c r="K3229" s="29"/>
      <c r="L3229" s="174">
        <v>0</v>
      </c>
    </row>
    <row r="3230" spans="1:12" ht="15.75" hidden="1" thickBot="1" x14ac:dyDescent="0.3">
      <c r="A3230" s="181"/>
      <c r="B3230" s="179"/>
      <c r="C3230" s="25" t="s">
        <v>101</v>
      </c>
      <c r="D3230" s="25" t="s">
        <v>21</v>
      </c>
      <c r="E3230" s="26">
        <v>1.35</v>
      </c>
      <c r="F3230" s="27" t="s">
        <v>1861</v>
      </c>
      <c r="G3230" s="46">
        <v>16.093</v>
      </c>
      <c r="H3230" s="27" t="s">
        <v>103</v>
      </c>
      <c r="I3230" s="46">
        <f>IF(ISNUMBER(G3230),E3230*G3230,"")</f>
        <v>21.725550000000002</v>
      </c>
      <c r="J3230" s="69"/>
      <c r="K3230" s="70"/>
      <c r="L3230" s="174">
        <v>0</v>
      </c>
    </row>
    <row r="3231" spans="1:12" ht="15.75" hidden="1" thickBot="1" x14ac:dyDescent="0.3">
      <c r="A3231" s="181"/>
      <c r="B3231" s="179"/>
      <c r="C3231" s="25" t="s">
        <v>38</v>
      </c>
      <c r="D3231" s="25" t="s">
        <v>21</v>
      </c>
      <c r="E3231" s="26">
        <v>0.6</v>
      </c>
      <c r="F3231" s="27" t="s">
        <v>1861</v>
      </c>
      <c r="G3231" s="46">
        <v>14.325999999999999</v>
      </c>
      <c r="H3231" s="27" t="s">
        <v>39</v>
      </c>
      <c r="I3231" s="46">
        <f>IF(ISNUMBER(G3231),E3231*G3231,"")</f>
        <v>8.5955999999999992</v>
      </c>
      <c r="J3231" s="69"/>
      <c r="K3231" s="70"/>
      <c r="L3231" s="174">
        <v>0</v>
      </c>
    </row>
    <row r="3232" spans="1:12" ht="15.75" hidden="1" thickBot="1" x14ac:dyDescent="0.3">
      <c r="A3232" s="181"/>
      <c r="B3232" s="179"/>
      <c r="C3232" s="25" t="s">
        <v>471</v>
      </c>
      <c r="D3232" s="25" t="s">
        <v>75</v>
      </c>
      <c r="E3232" s="26">
        <v>4.5</v>
      </c>
      <c r="F3232" s="27" t="s">
        <v>1861</v>
      </c>
      <c r="G3232" s="46">
        <v>1.159</v>
      </c>
      <c r="H3232" s="27" t="s">
        <v>473</v>
      </c>
      <c r="I3232" s="46">
        <f>IF(ISNUMBER(G3232),E3232*G3232,"")</f>
        <v>5.2155000000000005</v>
      </c>
      <c r="J3232" s="69"/>
      <c r="K3232" s="70"/>
      <c r="L3232" s="174">
        <v>0</v>
      </c>
    </row>
    <row r="3233" spans="1:12" ht="15.75" hidden="1" thickBot="1" x14ac:dyDescent="0.3">
      <c r="A3233" s="181"/>
      <c r="B3233" s="179"/>
      <c r="C3233" s="25" t="s">
        <v>474</v>
      </c>
      <c r="D3233" s="25" t="s">
        <v>75</v>
      </c>
      <c r="E3233" s="26">
        <v>0.3</v>
      </c>
      <c r="F3233" s="27" t="s">
        <v>1861</v>
      </c>
      <c r="G3233" s="46">
        <v>2.1755</v>
      </c>
      <c r="H3233" s="27" t="s">
        <v>475</v>
      </c>
      <c r="I3233" s="46">
        <f>IF(ISNUMBER(G3233),E3233*G3233,"")</f>
        <v>0.65264999999999995</v>
      </c>
      <c r="J3233" s="69"/>
      <c r="K3233" s="70"/>
      <c r="L3233" s="174">
        <v>0</v>
      </c>
    </row>
    <row r="3234" spans="1:12" ht="15.75" hidden="1" thickBot="1" x14ac:dyDescent="0.3">
      <c r="A3234" s="182"/>
      <c r="B3234" s="183"/>
      <c r="C3234" s="25"/>
      <c r="D3234" s="25"/>
      <c r="E3234" s="26"/>
      <c r="F3234" s="27"/>
      <c r="G3234" s="46" t="s">
        <v>1079</v>
      </c>
      <c r="H3234" s="1"/>
      <c r="I3234" s="46" t="str">
        <f>IF(ISNUMBER(G3234),E3234*G3234,"")</f>
        <v/>
      </c>
      <c r="J3234" s="69"/>
      <c r="K3234" s="70"/>
      <c r="L3234" s="174">
        <v>0</v>
      </c>
    </row>
    <row r="3235" spans="1:12" ht="15.75" hidden="1" thickBot="1" x14ac:dyDescent="0.3">
      <c r="A3235" s="180" t="s">
        <v>1862</v>
      </c>
      <c r="B3235" s="178" t="str">
        <f>INDEX(Orçamentária!A:B,MATCH(Composições!A3235,Orçamentária!A:A,0),2)</f>
        <v>Mármore Branco Especial 20mm com inserts e argamassa (Ed. Principal e Anexo 1)</v>
      </c>
      <c r="C3235" s="30"/>
      <c r="D3235" s="13" t="str">
        <f>TRIM(INDEX(Orçamentária!C:C,MATCH(Composições!A3235,Orçamentária!A:A,0),1))</f>
        <v>m2</v>
      </c>
      <c r="E3235" s="14"/>
      <c r="F3235" s="15" t="s">
        <v>17</v>
      </c>
      <c r="G3235" s="40" t="s">
        <v>1079</v>
      </c>
      <c r="H3235" s="16"/>
      <c r="I3235" s="16" t="str">
        <f>IF(ISNUMBER(G3235),E3235*G3235,"")</f>
        <v/>
      </c>
      <c r="J3235" s="17"/>
      <c r="K3235" s="18"/>
      <c r="L3235" s="174">
        <v>0</v>
      </c>
    </row>
    <row r="3236" spans="1:12" ht="15.75" hidden="1" thickBot="1" x14ac:dyDescent="0.3">
      <c r="A3236" s="181"/>
      <c r="B3236" s="179"/>
      <c r="C3236" s="20"/>
      <c r="D3236" s="20"/>
      <c r="E3236" s="21"/>
      <c r="F3236" s="22"/>
      <c r="G3236" s="46" t="s">
        <v>1079</v>
      </c>
      <c r="H3236" s="1"/>
      <c r="I3236" s="46" t="str">
        <f>IF(ISNUMBER(G3236),E3236*G3236,"")</f>
        <v/>
      </c>
      <c r="J3236" s="69"/>
      <c r="K3236" s="70"/>
      <c r="L3236" s="174">
        <v>0</v>
      </c>
    </row>
    <row r="3237" spans="1:12" ht="15.75" hidden="1" thickBot="1" x14ac:dyDescent="0.3">
      <c r="A3237" s="181"/>
      <c r="B3237" s="179"/>
      <c r="C3237" s="25" t="s">
        <v>1860</v>
      </c>
      <c r="D3237" s="25" t="s">
        <v>189</v>
      </c>
      <c r="E3237" s="26">
        <v>1.05</v>
      </c>
      <c r="F3237" s="27" t="s">
        <v>17</v>
      </c>
      <c r="G3237" s="46" t="s">
        <v>1079</v>
      </c>
      <c r="H3237" s="27" t="s">
        <v>33</v>
      </c>
      <c r="I3237" s="46" t="str">
        <f>IF(ISNUMBER(G3237),E3237*G3237,"")</f>
        <v/>
      </c>
      <c r="J3237" s="28">
        <f>SUM(I3237:I3247)</f>
        <v>52.105337782424996</v>
      </c>
      <c r="K3237" s="29"/>
      <c r="L3237" s="174">
        <v>0</v>
      </c>
    </row>
    <row r="3238" spans="1:12" ht="15.75" hidden="1" thickBot="1" x14ac:dyDescent="0.3">
      <c r="A3238" s="181"/>
      <c r="B3238" s="179"/>
      <c r="C3238" s="25" t="s">
        <v>101</v>
      </c>
      <c r="D3238" s="25" t="s">
        <v>21</v>
      </c>
      <c r="E3238" s="26">
        <f>1.35</f>
        <v>1.35</v>
      </c>
      <c r="F3238" s="27" t="s">
        <v>17</v>
      </c>
      <c r="G3238" s="46">
        <v>16.093</v>
      </c>
      <c r="H3238" s="27" t="s">
        <v>103</v>
      </c>
      <c r="I3238" s="46">
        <f>IF(ISNUMBER(G3238),E3238*G3238,"")</f>
        <v>21.725550000000002</v>
      </c>
      <c r="J3238" s="69"/>
      <c r="K3238" s="70"/>
      <c r="L3238" s="174">
        <v>0</v>
      </c>
    </row>
    <row r="3239" spans="1:12" ht="15.75" hidden="1" thickBot="1" x14ac:dyDescent="0.3">
      <c r="A3239" s="181"/>
      <c r="B3239" s="179"/>
      <c r="C3239" s="25" t="s">
        <v>36</v>
      </c>
      <c r="D3239" s="25" t="s">
        <v>21</v>
      </c>
      <c r="E3239" s="26">
        <v>0.1</v>
      </c>
      <c r="F3239" s="27" t="s">
        <v>17</v>
      </c>
      <c r="G3239" s="46">
        <v>19.142499999999998</v>
      </c>
      <c r="H3239" s="27" t="s">
        <v>37</v>
      </c>
      <c r="I3239" s="46">
        <f>IF(ISNUMBER(G3239),E3239*G3239,"")</f>
        <v>1.91425</v>
      </c>
      <c r="J3239" s="69"/>
      <c r="K3239" s="70"/>
      <c r="L3239" s="174">
        <v>0</v>
      </c>
    </row>
    <row r="3240" spans="1:12" ht="15.75" hidden="1" thickBot="1" x14ac:dyDescent="0.3">
      <c r="A3240" s="181"/>
      <c r="B3240" s="179"/>
      <c r="C3240" s="25" t="s">
        <v>38</v>
      </c>
      <c r="D3240" s="25" t="s">
        <v>21</v>
      </c>
      <c r="E3240" s="26">
        <f>0.6+0.1+0.1</f>
        <v>0.79999999999999993</v>
      </c>
      <c r="F3240" s="27" t="s">
        <v>17</v>
      </c>
      <c r="G3240" s="46">
        <v>14.325999999999999</v>
      </c>
      <c r="H3240" s="27" t="s">
        <v>39</v>
      </c>
      <c r="I3240" s="46">
        <f>IF(ISNUMBER(G3240),E3240*G3240,"")</f>
        <v>11.460799999999997</v>
      </c>
      <c r="J3240" s="69"/>
      <c r="K3240" s="70"/>
      <c r="L3240" s="174">
        <v>0</v>
      </c>
    </row>
    <row r="3241" spans="1:12" ht="15.75" hidden="1" thickBot="1" x14ac:dyDescent="0.3">
      <c r="A3241" s="181"/>
      <c r="B3241" s="179"/>
      <c r="C3241" s="25" t="s">
        <v>471</v>
      </c>
      <c r="D3241" s="25" t="s">
        <v>75</v>
      </c>
      <c r="E3241" s="26">
        <v>4.5</v>
      </c>
      <c r="F3241" s="27" t="s">
        <v>17</v>
      </c>
      <c r="G3241" s="46">
        <v>1.159</v>
      </c>
      <c r="H3241" s="27" t="s">
        <v>473</v>
      </c>
      <c r="I3241" s="46">
        <f>IF(ISNUMBER(G3241),E3241*G3241,"")</f>
        <v>5.2155000000000005</v>
      </c>
      <c r="J3241" s="69"/>
      <c r="K3241" s="70"/>
      <c r="L3241" s="174">
        <v>0</v>
      </c>
    </row>
    <row r="3242" spans="1:12" ht="15.75" hidden="1" thickBot="1" x14ac:dyDescent="0.3">
      <c r="A3242" s="181"/>
      <c r="B3242" s="179"/>
      <c r="C3242" s="25" t="s">
        <v>474</v>
      </c>
      <c r="D3242" s="25" t="s">
        <v>75</v>
      </c>
      <c r="E3242" s="26">
        <v>0.3</v>
      </c>
      <c r="F3242" s="27" t="s">
        <v>17</v>
      </c>
      <c r="G3242" s="46">
        <v>2.1755</v>
      </c>
      <c r="H3242" s="27" t="s">
        <v>475</v>
      </c>
      <c r="I3242" s="46">
        <f>IF(ISNUMBER(G3242),E3242*G3242,"")</f>
        <v>0.65264999999999995</v>
      </c>
      <c r="J3242" s="69"/>
      <c r="K3242" s="70"/>
      <c r="L3242" s="174">
        <v>0</v>
      </c>
    </row>
    <row r="3243" spans="1:12" ht="26.25" hidden="1" thickBot="1" x14ac:dyDescent="0.3">
      <c r="A3243" s="181"/>
      <c r="B3243" s="179"/>
      <c r="C3243" s="25" t="s">
        <v>1863</v>
      </c>
      <c r="D3243" s="25" t="s">
        <v>588</v>
      </c>
      <c r="E3243" s="26">
        <f>2/(0.4*0.8)</f>
        <v>6.2499999999999991</v>
      </c>
      <c r="F3243" s="27" t="s">
        <v>17</v>
      </c>
      <c r="G3243" s="46">
        <v>1.7765</v>
      </c>
      <c r="H3243" s="27" t="s">
        <v>1864</v>
      </c>
      <c r="I3243" s="46">
        <f>IF(ISNUMBER(G3243),E3243*G3243,"")</f>
        <v>11.103124999999999</v>
      </c>
      <c r="J3243" s="69"/>
      <c r="K3243" s="70"/>
      <c r="L3243" s="174">
        <v>0</v>
      </c>
    </row>
    <row r="3244" spans="1:12" ht="15.75" hidden="1" thickBot="1" x14ac:dyDescent="0.3">
      <c r="A3244" s="181"/>
      <c r="B3244" s="179"/>
      <c r="C3244" s="25" t="s">
        <v>1850</v>
      </c>
      <c r="D3244" s="25" t="s">
        <v>305</v>
      </c>
      <c r="E3244" s="26">
        <f>(2/(0.4*0.8))*(0.016)*1.5</f>
        <v>0.15</v>
      </c>
      <c r="F3244" s="27" t="s">
        <v>17</v>
      </c>
      <c r="G3244" s="46">
        <v>0</v>
      </c>
      <c r="H3244" s="27" t="s">
        <v>4600</v>
      </c>
      <c r="I3244" s="46">
        <f>IF(ISNUMBER(G3244),E3244*G3244,"")</f>
        <v>0</v>
      </c>
      <c r="J3244" s="69"/>
      <c r="K3244" s="70"/>
      <c r="L3244" s="174">
        <v>0</v>
      </c>
    </row>
    <row r="3245" spans="1:12" ht="15.75" hidden="1" thickBot="1" x14ac:dyDescent="0.3">
      <c r="A3245" s="181"/>
      <c r="B3245" s="179"/>
      <c r="C3245" s="25" t="s">
        <v>1851</v>
      </c>
      <c r="D3245" s="25" t="s">
        <v>1852</v>
      </c>
      <c r="E3245" s="26">
        <f>(2/(0.4*0.8))*0.1*1.5</f>
        <v>0.9375</v>
      </c>
      <c r="F3245" s="27" t="s">
        <v>17</v>
      </c>
      <c r="G3245" s="46">
        <v>0</v>
      </c>
      <c r="H3245" s="27" t="s">
        <v>4600</v>
      </c>
      <c r="I3245" s="46">
        <f>IF(ISNUMBER(G3245),E3245*G3245,"")</f>
        <v>0</v>
      </c>
      <c r="J3245" s="69"/>
      <c r="K3245" s="70"/>
      <c r="L3245" s="174">
        <v>0</v>
      </c>
    </row>
    <row r="3246" spans="1:12" ht="15.75" hidden="1" thickBot="1" x14ac:dyDescent="0.3">
      <c r="A3246" s="181"/>
      <c r="B3246" s="179"/>
      <c r="C3246" s="25" t="s">
        <v>1865</v>
      </c>
      <c r="D3246" s="25" t="s">
        <v>305</v>
      </c>
      <c r="E3246" s="26">
        <f>2/(0.4*0.8)</f>
        <v>6.2499999999999991</v>
      </c>
      <c r="F3246" s="27" t="s">
        <v>17</v>
      </c>
      <c r="G3246" s="46" t="s">
        <v>1079</v>
      </c>
      <c r="H3246" s="27" t="s">
        <v>33</v>
      </c>
      <c r="I3246" s="46" t="str">
        <f>IF(ISNUMBER(G3246),E3246*G3246,"")</f>
        <v/>
      </c>
      <c r="J3246" s="69"/>
      <c r="K3246" s="70"/>
      <c r="L3246" s="174">
        <v>0</v>
      </c>
    </row>
    <row r="3247" spans="1:12" ht="39" hidden="1" thickBot="1" x14ac:dyDescent="0.3">
      <c r="A3247" s="181"/>
      <c r="B3247" s="179"/>
      <c r="C3247" s="25" t="s">
        <v>1853</v>
      </c>
      <c r="D3247" s="25" t="s">
        <v>228</v>
      </c>
      <c r="E3247" s="26">
        <v>1E-4</v>
      </c>
      <c r="F3247" s="27" t="s">
        <v>17</v>
      </c>
      <c r="G3247" s="46">
        <v>334.62782424999995</v>
      </c>
      <c r="H3247" s="27" t="s">
        <v>1854</v>
      </c>
      <c r="I3247" s="46">
        <f>IF(ISNUMBER(G3247),E3247*G3247,"")</f>
        <v>3.3462782424999997E-2</v>
      </c>
      <c r="J3247" s="69"/>
      <c r="K3247" s="70"/>
      <c r="L3247" s="174">
        <v>0</v>
      </c>
    </row>
    <row r="3248" spans="1:12" ht="15.75" hidden="1" thickBot="1" x14ac:dyDescent="0.3">
      <c r="A3248" s="181"/>
      <c r="B3248" s="179"/>
      <c r="C3248" s="25"/>
      <c r="D3248" s="25"/>
      <c r="E3248" s="26"/>
      <c r="F3248" s="27"/>
      <c r="G3248" s="46" t="s">
        <v>1079</v>
      </c>
      <c r="H3248" s="27"/>
      <c r="I3248" s="46" t="str">
        <f>IF(ISNUMBER(G3248),E3248*G3248,"")</f>
        <v/>
      </c>
      <c r="J3248" s="69"/>
      <c r="K3248" s="70"/>
      <c r="L3248" s="174">
        <v>0</v>
      </c>
    </row>
    <row r="3249" spans="1:12" ht="15.75" hidden="1" thickBot="1" x14ac:dyDescent="0.3">
      <c r="A3249" s="181"/>
      <c r="B3249" s="179"/>
      <c r="C3249" s="171" t="s">
        <v>1866</v>
      </c>
      <c r="D3249" s="25"/>
      <c r="E3249" s="26"/>
      <c r="F3249" s="27"/>
      <c r="G3249" s="46" t="s">
        <v>1079</v>
      </c>
      <c r="H3249" s="27"/>
      <c r="I3249" s="46" t="str">
        <f>IF(ISNUMBER(G3249),E3249*G3249,"")</f>
        <v/>
      </c>
      <c r="J3249" s="69"/>
      <c r="K3249" s="70"/>
      <c r="L3249" s="174">
        <v>0</v>
      </c>
    </row>
    <row r="3250" spans="1:12" ht="26.25" hidden="1" thickBot="1" x14ac:dyDescent="0.3">
      <c r="A3250" s="181"/>
      <c r="B3250" s="179"/>
      <c r="C3250" s="171" t="s">
        <v>1867</v>
      </c>
      <c r="D3250" s="25"/>
      <c r="E3250" s="26"/>
      <c r="F3250" s="27"/>
      <c r="G3250" s="46" t="s">
        <v>1079</v>
      </c>
      <c r="H3250" s="27"/>
      <c r="I3250" s="46" t="str">
        <f>IF(ISNUMBER(G3250),E3250*G3250,"")</f>
        <v/>
      </c>
      <c r="J3250" s="69"/>
      <c r="K3250" s="70"/>
      <c r="L3250" s="174">
        <v>0</v>
      </c>
    </row>
    <row r="3251" spans="1:12" ht="15.75" hidden="1" thickBot="1" x14ac:dyDescent="0.3">
      <c r="A3251" s="182"/>
      <c r="B3251" s="183"/>
      <c r="C3251" s="25"/>
      <c r="D3251" s="25"/>
      <c r="E3251" s="26"/>
      <c r="F3251" s="27"/>
      <c r="G3251" s="46" t="s">
        <v>1079</v>
      </c>
      <c r="H3251" s="27"/>
      <c r="I3251" s="46" t="str">
        <f>IF(ISNUMBER(G3251),E3251*G3251,"")</f>
        <v/>
      </c>
      <c r="J3251" s="69"/>
      <c r="K3251" s="70"/>
      <c r="L3251" s="174">
        <v>0</v>
      </c>
    </row>
    <row r="3252" spans="1:12" ht="15.75" hidden="1" thickBot="1" x14ac:dyDescent="0.3">
      <c r="A3252" s="180" t="s">
        <v>1868</v>
      </c>
      <c r="B3252" s="178" t="str">
        <f>INDEX(Orçamentária!A:B,MATCH(Composições!A3252,Orçamentária!A:A,0),2)</f>
        <v>Mármore Branco Especial 30mm argamassado (Ed. Principal e Anexo 1)</v>
      </c>
      <c r="C3252" s="30"/>
      <c r="D3252" s="13" t="str">
        <f>TRIM(INDEX(Orçamentária!C:C,MATCH(Composições!A3252,Orçamentária!A:A,0),1))</f>
        <v>m2</v>
      </c>
      <c r="E3252" s="14"/>
      <c r="F3252" s="15" t="s">
        <v>1859</v>
      </c>
      <c r="G3252" s="40" t="s">
        <v>1079</v>
      </c>
      <c r="H3252" s="16"/>
      <c r="I3252" s="16" t="str">
        <f>IF(ISNUMBER(G3252),E3252*G3252,"")</f>
        <v/>
      </c>
      <c r="J3252" s="17"/>
      <c r="K3252" s="18"/>
      <c r="L3252" s="174">
        <v>0</v>
      </c>
    </row>
    <row r="3253" spans="1:12" ht="15.75" hidden="1" thickBot="1" x14ac:dyDescent="0.3">
      <c r="A3253" s="181"/>
      <c r="B3253" s="179"/>
      <c r="C3253" s="20"/>
      <c r="D3253" s="20"/>
      <c r="E3253" s="21"/>
      <c r="F3253" s="22"/>
      <c r="G3253" s="46" t="s">
        <v>1079</v>
      </c>
      <c r="H3253" s="20"/>
      <c r="I3253" s="46" t="str">
        <f>IF(ISNUMBER(G3253),E3253*G3253,"")</f>
        <v/>
      </c>
      <c r="J3253" s="69"/>
      <c r="K3253" s="70"/>
      <c r="L3253" s="174">
        <v>0</v>
      </c>
    </row>
    <row r="3254" spans="1:12" ht="15.75" hidden="1" thickBot="1" x14ac:dyDescent="0.3">
      <c r="A3254" s="181"/>
      <c r="B3254" s="179"/>
      <c r="C3254" s="25" t="s">
        <v>1869</v>
      </c>
      <c r="D3254" s="25" t="s">
        <v>189</v>
      </c>
      <c r="E3254" s="26">
        <v>1.05</v>
      </c>
      <c r="F3254" s="27" t="s">
        <v>1861</v>
      </c>
      <c r="G3254" s="46" t="s">
        <v>1079</v>
      </c>
      <c r="H3254" s="27" t="s">
        <v>33</v>
      </c>
      <c r="I3254" s="46" t="str">
        <f>IF(ISNUMBER(G3254),E3254*G3254,"")</f>
        <v/>
      </c>
      <c r="J3254" s="28">
        <f>SUM(I3254:I3258)</f>
        <v>36.189300000000003</v>
      </c>
      <c r="K3254" s="29"/>
      <c r="L3254" s="174">
        <v>0</v>
      </c>
    </row>
    <row r="3255" spans="1:12" ht="15.75" hidden="1" thickBot="1" x14ac:dyDescent="0.3">
      <c r="A3255" s="181"/>
      <c r="B3255" s="179"/>
      <c r="C3255" s="25" t="s">
        <v>101</v>
      </c>
      <c r="D3255" s="25" t="s">
        <v>21</v>
      </c>
      <c r="E3255" s="26">
        <v>1.35</v>
      </c>
      <c r="F3255" s="27" t="s">
        <v>1861</v>
      </c>
      <c r="G3255" s="46">
        <v>16.093</v>
      </c>
      <c r="H3255" s="27" t="s">
        <v>103</v>
      </c>
      <c r="I3255" s="46">
        <f>IF(ISNUMBER(G3255),E3255*G3255,"")</f>
        <v>21.725550000000002</v>
      </c>
      <c r="J3255" s="69"/>
      <c r="K3255" s="70"/>
      <c r="L3255" s="174">
        <v>0</v>
      </c>
    </row>
    <row r="3256" spans="1:12" ht="15.75" hidden="1" thickBot="1" x14ac:dyDescent="0.3">
      <c r="A3256" s="181"/>
      <c r="B3256" s="179"/>
      <c r="C3256" s="25" t="s">
        <v>38</v>
      </c>
      <c r="D3256" s="25" t="s">
        <v>21</v>
      </c>
      <c r="E3256" s="26">
        <v>0.6</v>
      </c>
      <c r="F3256" s="27" t="s">
        <v>1861</v>
      </c>
      <c r="G3256" s="46">
        <v>14.325999999999999</v>
      </c>
      <c r="H3256" s="27" t="s">
        <v>39</v>
      </c>
      <c r="I3256" s="46">
        <f>IF(ISNUMBER(G3256),E3256*G3256,"")</f>
        <v>8.5955999999999992</v>
      </c>
      <c r="J3256" s="69"/>
      <c r="K3256" s="70"/>
      <c r="L3256" s="174">
        <v>0</v>
      </c>
    </row>
    <row r="3257" spans="1:12" ht="15.75" hidden="1" thickBot="1" x14ac:dyDescent="0.3">
      <c r="A3257" s="181"/>
      <c r="B3257" s="179"/>
      <c r="C3257" s="25" t="s">
        <v>471</v>
      </c>
      <c r="D3257" s="25" t="s">
        <v>75</v>
      </c>
      <c r="E3257" s="26">
        <v>4.5</v>
      </c>
      <c r="F3257" s="27" t="s">
        <v>1861</v>
      </c>
      <c r="G3257" s="46">
        <v>1.159</v>
      </c>
      <c r="H3257" s="27" t="s">
        <v>473</v>
      </c>
      <c r="I3257" s="46">
        <f>IF(ISNUMBER(G3257),E3257*G3257,"")</f>
        <v>5.2155000000000005</v>
      </c>
      <c r="J3257" s="69"/>
      <c r="K3257" s="70"/>
      <c r="L3257" s="174">
        <v>0</v>
      </c>
    </row>
    <row r="3258" spans="1:12" ht="15.75" hidden="1" thickBot="1" x14ac:dyDescent="0.3">
      <c r="A3258" s="181"/>
      <c r="B3258" s="179"/>
      <c r="C3258" s="25" t="s">
        <v>474</v>
      </c>
      <c r="D3258" s="25" t="s">
        <v>75</v>
      </c>
      <c r="E3258" s="26">
        <v>0.3</v>
      </c>
      <c r="F3258" s="27" t="s">
        <v>1861</v>
      </c>
      <c r="G3258" s="46">
        <v>2.1755</v>
      </c>
      <c r="H3258" s="27" t="s">
        <v>475</v>
      </c>
      <c r="I3258" s="46">
        <f>IF(ISNUMBER(G3258),E3258*G3258,"")</f>
        <v>0.65264999999999995</v>
      </c>
      <c r="J3258" s="69"/>
      <c r="K3258" s="70"/>
      <c r="L3258" s="174">
        <v>0</v>
      </c>
    </row>
    <row r="3259" spans="1:12" ht="15.75" hidden="1" thickBot="1" x14ac:dyDescent="0.3">
      <c r="A3259" s="182"/>
      <c r="B3259" s="183"/>
      <c r="C3259" s="25"/>
      <c r="D3259" s="25"/>
      <c r="E3259" s="26"/>
      <c r="F3259" s="27"/>
      <c r="G3259" s="46" t="s">
        <v>1079</v>
      </c>
      <c r="H3259" s="27"/>
      <c r="I3259" s="46" t="str">
        <f>IF(ISNUMBER(G3259),E3259*G3259,"")</f>
        <v/>
      </c>
      <c r="J3259" s="69"/>
      <c r="K3259" s="70"/>
      <c r="L3259" s="174">
        <v>0</v>
      </c>
    </row>
    <row r="3260" spans="1:12" ht="15.75" hidden="1" thickBot="1" x14ac:dyDescent="0.3">
      <c r="A3260" s="180" t="s">
        <v>1870</v>
      </c>
      <c r="B3260" s="178" t="str">
        <f>INDEX(Orçamentária!A:B,MATCH(Composições!A3260,Orçamentária!A:A,0),2)</f>
        <v>Mármore Branco Especial 30mm com inserts e argamassa (Ed. Principal e Anexo 1)</v>
      </c>
      <c r="C3260" s="30"/>
      <c r="D3260" s="13" t="str">
        <f>TRIM(INDEX(Orçamentária!C:C,MATCH(Composições!A3260,Orçamentária!A:A,0),1))</f>
        <v>m2</v>
      </c>
      <c r="E3260" s="14"/>
      <c r="F3260" s="15" t="s">
        <v>17</v>
      </c>
      <c r="G3260" s="40" t="s">
        <v>1079</v>
      </c>
      <c r="H3260" s="16"/>
      <c r="I3260" s="16" t="str">
        <f>IF(ISNUMBER(G3260),E3260*G3260,"")</f>
        <v/>
      </c>
      <c r="J3260" s="17"/>
      <c r="K3260" s="18"/>
      <c r="L3260" s="174">
        <v>0</v>
      </c>
    </row>
    <row r="3261" spans="1:12" ht="15.75" hidden="1" thickBot="1" x14ac:dyDescent="0.3">
      <c r="A3261" s="181"/>
      <c r="B3261" s="179"/>
      <c r="C3261" s="20"/>
      <c r="D3261" s="20"/>
      <c r="E3261" s="21"/>
      <c r="F3261" s="22"/>
      <c r="G3261" s="46" t="s">
        <v>1079</v>
      </c>
      <c r="H3261" s="20"/>
      <c r="I3261" s="46" t="str">
        <f>IF(ISNUMBER(G3261),E3261*G3261,"")</f>
        <v/>
      </c>
      <c r="J3261" s="69"/>
      <c r="K3261" s="70"/>
      <c r="L3261" s="174">
        <v>0</v>
      </c>
    </row>
    <row r="3262" spans="1:12" ht="15.75" hidden="1" thickBot="1" x14ac:dyDescent="0.3">
      <c r="A3262" s="181"/>
      <c r="B3262" s="179"/>
      <c r="C3262" s="25" t="s">
        <v>1869</v>
      </c>
      <c r="D3262" s="25" t="s">
        <v>189</v>
      </c>
      <c r="E3262" s="26">
        <v>1.05</v>
      </c>
      <c r="F3262" s="27" t="s">
        <v>17</v>
      </c>
      <c r="G3262" s="46" t="s">
        <v>1079</v>
      </c>
      <c r="H3262" s="27" t="s">
        <v>33</v>
      </c>
      <c r="I3262" s="46" t="str">
        <f>IF(ISNUMBER(G3262),E3262*G3262,"")</f>
        <v/>
      </c>
      <c r="J3262" s="28">
        <f>SUM(I3262:I3272)</f>
        <v>52.105337782424996</v>
      </c>
      <c r="K3262" s="29"/>
      <c r="L3262" s="174">
        <v>0</v>
      </c>
    </row>
    <row r="3263" spans="1:12" ht="15.75" hidden="1" thickBot="1" x14ac:dyDescent="0.3">
      <c r="A3263" s="181"/>
      <c r="B3263" s="179"/>
      <c r="C3263" s="25" t="s">
        <v>101</v>
      </c>
      <c r="D3263" s="25" t="s">
        <v>21</v>
      </c>
      <c r="E3263" s="26">
        <f>1.35</f>
        <v>1.35</v>
      </c>
      <c r="F3263" s="27" t="s">
        <v>17</v>
      </c>
      <c r="G3263" s="46">
        <v>16.093</v>
      </c>
      <c r="H3263" s="27" t="s">
        <v>103</v>
      </c>
      <c r="I3263" s="46">
        <f>IF(ISNUMBER(G3263),E3263*G3263,"")</f>
        <v>21.725550000000002</v>
      </c>
      <c r="J3263" s="69"/>
      <c r="K3263" s="70"/>
      <c r="L3263" s="174">
        <v>0</v>
      </c>
    </row>
    <row r="3264" spans="1:12" ht="15.75" hidden="1" thickBot="1" x14ac:dyDescent="0.3">
      <c r="A3264" s="181"/>
      <c r="B3264" s="179"/>
      <c r="C3264" s="25" t="s">
        <v>36</v>
      </c>
      <c r="D3264" s="25" t="s">
        <v>21</v>
      </c>
      <c r="E3264" s="26">
        <v>0.1</v>
      </c>
      <c r="F3264" s="27" t="s">
        <v>17</v>
      </c>
      <c r="G3264" s="46">
        <v>19.142499999999998</v>
      </c>
      <c r="H3264" s="27" t="s">
        <v>37</v>
      </c>
      <c r="I3264" s="46">
        <f>IF(ISNUMBER(G3264),E3264*G3264,"")</f>
        <v>1.91425</v>
      </c>
      <c r="J3264" s="69"/>
      <c r="K3264" s="70"/>
      <c r="L3264" s="174">
        <v>0</v>
      </c>
    </row>
    <row r="3265" spans="1:12" ht="15.75" hidden="1" thickBot="1" x14ac:dyDescent="0.3">
      <c r="A3265" s="181"/>
      <c r="B3265" s="179"/>
      <c r="C3265" s="25" t="s">
        <v>38</v>
      </c>
      <c r="D3265" s="25" t="s">
        <v>21</v>
      </c>
      <c r="E3265" s="26">
        <f>0.6+0.1+0.1</f>
        <v>0.79999999999999993</v>
      </c>
      <c r="F3265" s="27" t="s">
        <v>17</v>
      </c>
      <c r="G3265" s="46">
        <v>14.325999999999999</v>
      </c>
      <c r="H3265" s="27" t="s">
        <v>39</v>
      </c>
      <c r="I3265" s="46">
        <f>IF(ISNUMBER(G3265),E3265*G3265,"")</f>
        <v>11.460799999999997</v>
      </c>
      <c r="J3265" s="69"/>
      <c r="K3265" s="70"/>
      <c r="L3265" s="174">
        <v>0</v>
      </c>
    </row>
    <row r="3266" spans="1:12" ht="15.75" hidden="1" thickBot="1" x14ac:dyDescent="0.3">
      <c r="A3266" s="181"/>
      <c r="B3266" s="179"/>
      <c r="C3266" s="25" t="s">
        <v>471</v>
      </c>
      <c r="D3266" s="25" t="s">
        <v>75</v>
      </c>
      <c r="E3266" s="26">
        <v>4.5</v>
      </c>
      <c r="F3266" s="27" t="s">
        <v>17</v>
      </c>
      <c r="G3266" s="46">
        <v>1.159</v>
      </c>
      <c r="H3266" s="27" t="s">
        <v>473</v>
      </c>
      <c r="I3266" s="46">
        <f>IF(ISNUMBER(G3266),E3266*G3266,"")</f>
        <v>5.2155000000000005</v>
      </c>
      <c r="J3266" s="69"/>
      <c r="K3266" s="70"/>
      <c r="L3266" s="174">
        <v>0</v>
      </c>
    </row>
    <row r="3267" spans="1:12" ht="15.75" hidden="1" thickBot="1" x14ac:dyDescent="0.3">
      <c r="A3267" s="181"/>
      <c r="B3267" s="179"/>
      <c r="C3267" s="25" t="s">
        <v>474</v>
      </c>
      <c r="D3267" s="25" t="s">
        <v>75</v>
      </c>
      <c r="E3267" s="26">
        <v>0.3</v>
      </c>
      <c r="F3267" s="27" t="s">
        <v>17</v>
      </c>
      <c r="G3267" s="46">
        <v>2.1755</v>
      </c>
      <c r="H3267" s="27" t="s">
        <v>475</v>
      </c>
      <c r="I3267" s="46">
        <f>IF(ISNUMBER(G3267),E3267*G3267,"")</f>
        <v>0.65264999999999995</v>
      </c>
      <c r="J3267" s="69"/>
      <c r="K3267" s="70"/>
      <c r="L3267" s="174">
        <v>0</v>
      </c>
    </row>
    <row r="3268" spans="1:12" ht="26.25" hidden="1" thickBot="1" x14ac:dyDescent="0.3">
      <c r="A3268" s="181"/>
      <c r="B3268" s="179"/>
      <c r="C3268" s="25" t="s">
        <v>1863</v>
      </c>
      <c r="D3268" s="25" t="s">
        <v>588</v>
      </c>
      <c r="E3268" s="26">
        <f>2/(0.4*0.8)</f>
        <v>6.2499999999999991</v>
      </c>
      <c r="F3268" s="27" t="s">
        <v>17</v>
      </c>
      <c r="G3268" s="46">
        <v>1.7765</v>
      </c>
      <c r="H3268" s="27" t="s">
        <v>1864</v>
      </c>
      <c r="I3268" s="46">
        <f>IF(ISNUMBER(G3268),E3268*G3268,"")</f>
        <v>11.103124999999999</v>
      </c>
      <c r="J3268" s="69"/>
      <c r="K3268" s="70"/>
      <c r="L3268" s="174">
        <v>0</v>
      </c>
    </row>
    <row r="3269" spans="1:12" ht="15.75" hidden="1" thickBot="1" x14ac:dyDescent="0.3">
      <c r="A3269" s="181"/>
      <c r="B3269" s="179"/>
      <c r="C3269" s="25" t="s">
        <v>1850</v>
      </c>
      <c r="D3269" s="25" t="s">
        <v>305</v>
      </c>
      <c r="E3269" s="26">
        <f>(2/(0.4*0.8))*(0.016)*1.5</f>
        <v>0.15</v>
      </c>
      <c r="F3269" s="27" t="s">
        <v>17</v>
      </c>
      <c r="G3269" s="46">
        <v>0</v>
      </c>
      <c r="H3269" s="27" t="s">
        <v>4600</v>
      </c>
      <c r="I3269" s="46">
        <f>IF(ISNUMBER(G3269),E3269*G3269,"")</f>
        <v>0</v>
      </c>
      <c r="J3269" s="69"/>
      <c r="K3269" s="70"/>
      <c r="L3269" s="174">
        <v>0</v>
      </c>
    </row>
    <row r="3270" spans="1:12" ht="15.75" hidden="1" thickBot="1" x14ac:dyDescent="0.3">
      <c r="A3270" s="181"/>
      <c r="B3270" s="179"/>
      <c r="C3270" s="25" t="s">
        <v>1851</v>
      </c>
      <c r="D3270" s="25" t="s">
        <v>1852</v>
      </c>
      <c r="E3270" s="26">
        <f>(2/(0.4*0.8))*0.1*1.5</f>
        <v>0.9375</v>
      </c>
      <c r="F3270" s="27" t="s">
        <v>17</v>
      </c>
      <c r="G3270" s="46">
        <v>0</v>
      </c>
      <c r="H3270" s="27" t="s">
        <v>4600</v>
      </c>
      <c r="I3270" s="46">
        <f>IF(ISNUMBER(G3270),E3270*G3270,"")</f>
        <v>0</v>
      </c>
      <c r="J3270" s="69"/>
      <c r="K3270" s="70"/>
      <c r="L3270" s="174">
        <v>0</v>
      </c>
    </row>
    <row r="3271" spans="1:12" ht="15.75" hidden="1" thickBot="1" x14ac:dyDescent="0.3">
      <c r="A3271" s="181"/>
      <c r="B3271" s="179"/>
      <c r="C3271" s="25" t="s">
        <v>1865</v>
      </c>
      <c r="D3271" s="25" t="s">
        <v>305</v>
      </c>
      <c r="E3271" s="26">
        <f>2/(0.4*0.8)</f>
        <v>6.2499999999999991</v>
      </c>
      <c r="F3271" s="27" t="s">
        <v>17</v>
      </c>
      <c r="G3271" s="46" t="s">
        <v>1079</v>
      </c>
      <c r="H3271" s="27" t="s">
        <v>33</v>
      </c>
      <c r="I3271" s="46" t="str">
        <f>IF(ISNUMBER(G3271),E3271*G3271,"")</f>
        <v/>
      </c>
      <c r="J3271" s="69"/>
      <c r="K3271" s="70"/>
      <c r="L3271" s="174">
        <v>0</v>
      </c>
    </row>
    <row r="3272" spans="1:12" ht="39" hidden="1" thickBot="1" x14ac:dyDescent="0.3">
      <c r="A3272" s="181"/>
      <c r="B3272" s="179"/>
      <c r="C3272" s="25" t="s">
        <v>1853</v>
      </c>
      <c r="D3272" s="25" t="s">
        <v>228</v>
      </c>
      <c r="E3272" s="26">
        <v>1E-4</v>
      </c>
      <c r="F3272" s="27" t="s">
        <v>17</v>
      </c>
      <c r="G3272" s="46">
        <v>334.62782424999995</v>
      </c>
      <c r="H3272" s="27" t="s">
        <v>1854</v>
      </c>
      <c r="I3272" s="46">
        <f>IF(ISNUMBER(G3272),E3272*G3272,"")</f>
        <v>3.3462782424999997E-2</v>
      </c>
      <c r="J3272" s="69"/>
      <c r="K3272" s="70"/>
      <c r="L3272" s="174">
        <v>0</v>
      </c>
    </row>
    <row r="3273" spans="1:12" ht="15.75" hidden="1" thickBot="1" x14ac:dyDescent="0.3">
      <c r="A3273" s="181"/>
      <c r="B3273" s="179"/>
      <c r="C3273" s="25"/>
      <c r="D3273" s="25"/>
      <c r="E3273" s="26"/>
      <c r="F3273" s="27"/>
      <c r="G3273" s="46" t="s">
        <v>1079</v>
      </c>
      <c r="H3273" s="27"/>
      <c r="I3273" s="46" t="str">
        <f>IF(ISNUMBER(G3273),E3273*G3273,"")</f>
        <v/>
      </c>
      <c r="J3273" s="69"/>
      <c r="K3273" s="70"/>
      <c r="L3273" s="174">
        <v>0</v>
      </c>
    </row>
    <row r="3274" spans="1:12" ht="15.75" hidden="1" thickBot="1" x14ac:dyDescent="0.3">
      <c r="A3274" s="181"/>
      <c r="B3274" s="179"/>
      <c r="C3274" s="171" t="s">
        <v>1866</v>
      </c>
      <c r="D3274" s="25"/>
      <c r="E3274" s="26"/>
      <c r="F3274" s="27"/>
      <c r="G3274" s="46" t="s">
        <v>1079</v>
      </c>
      <c r="H3274" s="27"/>
      <c r="I3274" s="46" t="str">
        <f>IF(ISNUMBER(G3274),E3274*G3274,"")</f>
        <v/>
      </c>
      <c r="J3274" s="69"/>
      <c r="K3274" s="70"/>
      <c r="L3274" s="174">
        <v>0</v>
      </c>
    </row>
    <row r="3275" spans="1:12" ht="26.25" hidden="1" thickBot="1" x14ac:dyDescent="0.3">
      <c r="A3275" s="181"/>
      <c r="B3275" s="179"/>
      <c r="C3275" s="171" t="s">
        <v>1867</v>
      </c>
      <c r="D3275" s="25"/>
      <c r="E3275" s="26"/>
      <c r="F3275" s="27"/>
      <c r="G3275" s="46" t="s">
        <v>1079</v>
      </c>
      <c r="H3275" s="27"/>
      <c r="I3275" s="46" t="str">
        <f>IF(ISNUMBER(G3275),E3275*G3275,"")</f>
        <v/>
      </c>
      <c r="J3275" s="69"/>
      <c r="K3275" s="70"/>
      <c r="L3275" s="174">
        <v>0</v>
      </c>
    </row>
    <row r="3276" spans="1:12" ht="15.75" hidden="1" thickBot="1" x14ac:dyDescent="0.3">
      <c r="A3276" s="182"/>
      <c r="B3276" s="183"/>
      <c r="C3276" s="25"/>
      <c r="D3276" s="25"/>
      <c r="E3276" s="26"/>
      <c r="F3276" s="27"/>
      <c r="G3276" s="46" t="s">
        <v>1079</v>
      </c>
      <c r="H3276" s="27"/>
      <c r="I3276" s="46" t="str">
        <f>IF(ISNUMBER(G3276),E3276*G3276,"")</f>
        <v/>
      </c>
      <c r="J3276" s="69"/>
      <c r="K3276" s="70"/>
      <c r="L3276" s="174">
        <v>0</v>
      </c>
    </row>
    <row r="3277" spans="1:12" ht="15.75" hidden="1" thickBot="1" x14ac:dyDescent="0.3">
      <c r="A3277" s="180" t="s">
        <v>1871</v>
      </c>
      <c r="B3277" s="178" t="str">
        <f>INDEX(Orçamentária!A:B,MATCH(Composições!A3277,Orçamentária!A:A,0),2)</f>
        <v>Mármore branco especial, e=30mm, instalação em fixadores metálicos existentes (modelo Edifício Principal)</v>
      </c>
      <c r="C3277" s="30"/>
      <c r="D3277" s="13" t="str">
        <f>TRIM(INDEX(Orçamentária!C:C,MATCH(Composições!A3277,Orçamentária!A:A,0),1))</f>
        <v>m2</v>
      </c>
      <c r="E3277" s="14"/>
      <c r="F3277" s="15" t="s">
        <v>17</v>
      </c>
      <c r="G3277" s="40" t="s">
        <v>1079</v>
      </c>
      <c r="H3277" s="16"/>
      <c r="I3277" s="16" t="str">
        <f>IF(ISNUMBER(G3277),E3277*G3277,"")</f>
        <v/>
      </c>
      <c r="J3277" s="17"/>
      <c r="K3277" s="18"/>
      <c r="L3277" s="174">
        <v>0</v>
      </c>
    </row>
    <row r="3278" spans="1:12" ht="15.75" hidden="1" thickBot="1" x14ac:dyDescent="0.3">
      <c r="A3278" s="181"/>
      <c r="B3278" s="179"/>
      <c r="C3278" s="20"/>
      <c r="D3278" s="20"/>
      <c r="E3278" s="21"/>
      <c r="F3278" s="22"/>
      <c r="G3278" s="46" t="s">
        <v>1079</v>
      </c>
      <c r="H3278" s="20"/>
      <c r="I3278" s="46" t="str">
        <f>IF(ISNUMBER(G3278),E3278*G3278,"")</f>
        <v/>
      </c>
      <c r="J3278" s="69"/>
      <c r="K3278" s="70"/>
      <c r="L3278" s="174">
        <v>0</v>
      </c>
    </row>
    <row r="3279" spans="1:12" ht="15.75" hidden="1" thickBot="1" x14ac:dyDescent="0.3">
      <c r="A3279" s="181"/>
      <c r="B3279" s="179"/>
      <c r="C3279" s="25" t="s">
        <v>1869</v>
      </c>
      <c r="D3279" s="25" t="s">
        <v>189</v>
      </c>
      <c r="E3279" s="26">
        <v>1.05</v>
      </c>
      <c r="F3279" s="27" t="s">
        <v>17</v>
      </c>
      <c r="G3279" s="46" t="s">
        <v>1079</v>
      </c>
      <c r="H3279" s="27" t="s">
        <v>33</v>
      </c>
      <c r="I3279" s="46" t="str">
        <f>IF(ISNUMBER(G3279),E3279*G3279,"")</f>
        <v/>
      </c>
      <c r="J3279" s="28">
        <f>SUM(I3279:I3284)</f>
        <v>5.4893127824249994</v>
      </c>
      <c r="K3279" s="29"/>
      <c r="L3279" s="174">
        <v>0</v>
      </c>
    </row>
    <row r="3280" spans="1:12" ht="15.75" hidden="1" thickBot="1" x14ac:dyDescent="0.3">
      <c r="A3280" s="181"/>
      <c r="B3280" s="179"/>
      <c r="C3280" s="25" t="s">
        <v>101</v>
      </c>
      <c r="D3280" s="25" t="s">
        <v>21</v>
      </c>
      <c r="E3280" s="26">
        <v>0.25</v>
      </c>
      <c r="F3280" s="27" t="s">
        <v>17</v>
      </c>
      <c r="G3280" s="46">
        <v>16.093</v>
      </c>
      <c r="H3280" s="27" t="s">
        <v>103</v>
      </c>
      <c r="I3280" s="46">
        <f>IF(ISNUMBER(G3280),E3280*G3280,"")</f>
        <v>4.02325</v>
      </c>
      <c r="J3280" s="69"/>
      <c r="K3280" s="70"/>
      <c r="L3280" s="174">
        <v>0</v>
      </c>
    </row>
    <row r="3281" spans="1:12" ht="15.75" hidden="1" thickBot="1" x14ac:dyDescent="0.3">
      <c r="A3281" s="181"/>
      <c r="B3281" s="179"/>
      <c r="C3281" s="25" t="s">
        <v>38</v>
      </c>
      <c r="D3281" s="25" t="s">
        <v>21</v>
      </c>
      <c r="E3281" s="26">
        <v>0.1</v>
      </c>
      <c r="F3281" s="27" t="s">
        <v>17</v>
      </c>
      <c r="G3281" s="46">
        <v>14.325999999999999</v>
      </c>
      <c r="H3281" s="27" t="s">
        <v>39</v>
      </c>
      <c r="I3281" s="46">
        <f>IF(ISNUMBER(G3281),E3281*G3281,"")</f>
        <v>1.4325999999999999</v>
      </c>
      <c r="J3281" s="69"/>
      <c r="K3281" s="70"/>
      <c r="L3281" s="174">
        <v>0</v>
      </c>
    </row>
    <row r="3282" spans="1:12" ht="15.75" hidden="1" thickBot="1" x14ac:dyDescent="0.3">
      <c r="A3282" s="181"/>
      <c r="B3282" s="179"/>
      <c r="C3282" s="25" t="s">
        <v>1850</v>
      </c>
      <c r="D3282" s="25" t="s">
        <v>305</v>
      </c>
      <c r="E3282" s="26">
        <f>(2/(0.4*0.8))*0.016/2</f>
        <v>4.9999999999999996E-2</v>
      </c>
      <c r="F3282" s="27" t="s">
        <v>17</v>
      </c>
      <c r="G3282" s="46">
        <v>0</v>
      </c>
      <c r="H3282" s="27" t="s">
        <v>4600</v>
      </c>
      <c r="I3282" s="46">
        <f>IF(ISNUMBER(G3282),E3282*G3282,"")</f>
        <v>0</v>
      </c>
      <c r="J3282" s="69"/>
      <c r="K3282" s="70"/>
      <c r="L3282" s="174">
        <v>0</v>
      </c>
    </row>
    <row r="3283" spans="1:12" ht="15.75" hidden="1" thickBot="1" x14ac:dyDescent="0.3">
      <c r="A3283" s="181"/>
      <c r="B3283" s="179"/>
      <c r="C3283" s="25" t="s">
        <v>1851</v>
      </c>
      <c r="D3283" s="25" t="s">
        <v>1852</v>
      </c>
      <c r="E3283" s="26">
        <f>(2/(0.4*0.8))*0.1/2</f>
        <v>0.3125</v>
      </c>
      <c r="F3283" s="27" t="s">
        <v>17</v>
      </c>
      <c r="G3283" s="46">
        <v>0</v>
      </c>
      <c r="H3283" s="27" t="s">
        <v>4600</v>
      </c>
      <c r="I3283" s="46">
        <f>IF(ISNUMBER(G3283),E3283*G3283,"")</f>
        <v>0</v>
      </c>
      <c r="J3283" s="69"/>
      <c r="K3283" s="70"/>
      <c r="L3283" s="174">
        <v>0</v>
      </c>
    </row>
    <row r="3284" spans="1:12" ht="39" hidden="1" thickBot="1" x14ac:dyDescent="0.3">
      <c r="A3284" s="181"/>
      <c r="B3284" s="179"/>
      <c r="C3284" s="25" t="s">
        <v>1853</v>
      </c>
      <c r="D3284" s="25" t="s">
        <v>228</v>
      </c>
      <c r="E3284" s="26">
        <v>1E-4</v>
      </c>
      <c r="F3284" s="27" t="s">
        <v>17</v>
      </c>
      <c r="G3284" s="46">
        <v>334.62782424999995</v>
      </c>
      <c r="H3284" s="27" t="s">
        <v>1854</v>
      </c>
      <c r="I3284" s="46">
        <f>IF(ISNUMBER(G3284),E3284*G3284,"")</f>
        <v>3.3462782424999997E-2</v>
      </c>
      <c r="J3284" s="69"/>
      <c r="K3284" s="70"/>
      <c r="L3284" s="174">
        <v>0</v>
      </c>
    </row>
    <row r="3285" spans="1:12" ht="15.75" hidden="1" thickBot="1" x14ac:dyDescent="0.3">
      <c r="A3285" s="181"/>
      <c r="B3285" s="179"/>
      <c r="C3285" s="25"/>
      <c r="D3285" s="25"/>
      <c r="E3285" s="26"/>
      <c r="F3285" s="27"/>
      <c r="G3285" s="46" t="s">
        <v>1079</v>
      </c>
      <c r="H3285" s="27"/>
      <c r="I3285" s="46" t="str">
        <f>IF(ISNUMBER(G3285),E3285*G3285,"")</f>
        <v/>
      </c>
      <c r="J3285" s="69"/>
      <c r="K3285" s="70"/>
      <c r="L3285" s="174">
        <v>0</v>
      </c>
    </row>
    <row r="3286" spans="1:12" ht="15.75" hidden="1" thickBot="1" x14ac:dyDescent="0.3">
      <c r="A3286" s="181"/>
      <c r="B3286" s="179"/>
      <c r="C3286" s="171" t="s">
        <v>1872</v>
      </c>
      <c r="D3286" s="25"/>
      <c r="E3286" s="26"/>
      <c r="F3286" s="27"/>
      <c r="G3286" s="46" t="s">
        <v>1079</v>
      </c>
      <c r="H3286" s="27"/>
      <c r="I3286" s="46" t="str">
        <f>IF(ISNUMBER(G3286),E3286*G3286,"")</f>
        <v/>
      </c>
      <c r="J3286" s="69"/>
      <c r="K3286" s="70"/>
      <c r="L3286" s="174">
        <v>0</v>
      </c>
    </row>
    <row r="3287" spans="1:12" ht="26.25" hidden="1" thickBot="1" x14ac:dyDescent="0.3">
      <c r="A3287" s="181"/>
      <c r="B3287" s="179"/>
      <c r="C3287" s="171" t="s">
        <v>1867</v>
      </c>
      <c r="D3287" s="25"/>
      <c r="E3287" s="26"/>
      <c r="F3287" s="27"/>
      <c r="G3287" s="46" t="s">
        <v>1079</v>
      </c>
      <c r="H3287" s="27"/>
      <c r="I3287" s="46" t="str">
        <f>IF(ISNUMBER(G3287),E3287*G3287,"")</f>
        <v/>
      </c>
      <c r="J3287" s="69"/>
      <c r="K3287" s="70"/>
      <c r="L3287" s="174">
        <v>0</v>
      </c>
    </row>
    <row r="3288" spans="1:12" ht="15.75" hidden="1" thickBot="1" x14ac:dyDescent="0.3">
      <c r="A3288" s="182"/>
      <c r="B3288" s="183"/>
      <c r="C3288" s="25"/>
      <c r="D3288" s="25"/>
      <c r="E3288" s="26"/>
      <c r="F3288" s="27"/>
      <c r="G3288" s="46" t="s">
        <v>1079</v>
      </c>
      <c r="H3288" s="27"/>
      <c r="I3288" s="46" t="str">
        <f>IF(ISNUMBER(G3288),E3288*G3288,"")</f>
        <v/>
      </c>
      <c r="J3288" s="69"/>
      <c r="K3288" s="70"/>
      <c r="L3288" s="174">
        <v>0</v>
      </c>
    </row>
    <row r="3289" spans="1:12" ht="15.75" hidden="1" thickBot="1" x14ac:dyDescent="0.3">
      <c r="A3289" s="180" t="s">
        <v>1873</v>
      </c>
      <c r="B3289" s="178" t="str">
        <f>INDEX(Orçamentária!A:B,MATCH(Composições!A3289,Orçamentária!A:A,0),2)</f>
        <v>Instalação de placas de rocha ornamental reaproveitadas, por meio de argamassa</v>
      </c>
      <c r="C3289" s="30"/>
      <c r="D3289" s="13" t="str">
        <f>TRIM(INDEX(Orçamentária!C:C,MATCH(Composições!A3289,Orçamentária!A:A,0),1))</f>
        <v>m2</v>
      </c>
      <c r="E3289" s="14"/>
      <c r="F3289" s="15" t="s">
        <v>1859</v>
      </c>
      <c r="G3289" s="40" t="s">
        <v>1079</v>
      </c>
      <c r="H3289" s="16"/>
      <c r="I3289" s="16" t="str">
        <f>IF(ISNUMBER(G3289),E3289*G3289,"")</f>
        <v/>
      </c>
      <c r="J3289" s="17"/>
      <c r="K3289" s="18"/>
      <c r="L3289" s="174">
        <v>0</v>
      </c>
    </row>
    <row r="3290" spans="1:12" ht="15.75" hidden="1" thickBot="1" x14ac:dyDescent="0.3">
      <c r="A3290" s="181"/>
      <c r="B3290" s="179"/>
      <c r="C3290" s="20"/>
      <c r="D3290" s="20"/>
      <c r="E3290" s="21"/>
      <c r="F3290" s="22"/>
      <c r="G3290" s="46" t="s">
        <v>1079</v>
      </c>
      <c r="H3290" s="20"/>
      <c r="I3290" s="46" t="str">
        <f>IF(ISNUMBER(G3290),E3290*G3290,"")</f>
        <v/>
      </c>
      <c r="J3290" s="69"/>
      <c r="K3290" s="70"/>
      <c r="L3290" s="174">
        <v>0</v>
      </c>
    </row>
    <row r="3291" spans="1:12" ht="15.75" hidden="1" thickBot="1" x14ac:dyDescent="0.3">
      <c r="A3291" s="181"/>
      <c r="B3291" s="179"/>
      <c r="C3291" s="25" t="s">
        <v>101</v>
      </c>
      <c r="D3291" s="25" t="s">
        <v>21</v>
      </c>
      <c r="E3291" s="26">
        <v>1.35</v>
      </c>
      <c r="F3291" s="27" t="s">
        <v>1861</v>
      </c>
      <c r="G3291" s="46">
        <v>16.093</v>
      </c>
      <c r="H3291" s="27" t="s">
        <v>103</v>
      </c>
      <c r="I3291" s="46">
        <f>IF(ISNUMBER(G3291),E3291*G3291,"")</f>
        <v>21.725550000000002</v>
      </c>
      <c r="J3291" s="28">
        <f>SUM(I3291:I3294)</f>
        <v>36.189300000000003</v>
      </c>
      <c r="K3291" s="29"/>
      <c r="L3291" s="174">
        <v>0</v>
      </c>
    </row>
    <row r="3292" spans="1:12" ht="15.75" hidden="1" thickBot="1" x14ac:dyDescent="0.3">
      <c r="A3292" s="181"/>
      <c r="B3292" s="179"/>
      <c r="C3292" s="25" t="s">
        <v>38</v>
      </c>
      <c r="D3292" s="25" t="s">
        <v>21</v>
      </c>
      <c r="E3292" s="26">
        <v>0.6</v>
      </c>
      <c r="F3292" s="27" t="s">
        <v>1861</v>
      </c>
      <c r="G3292" s="46">
        <v>14.325999999999999</v>
      </c>
      <c r="H3292" s="27" t="s">
        <v>39</v>
      </c>
      <c r="I3292" s="46">
        <f>IF(ISNUMBER(G3292),E3292*G3292,"")</f>
        <v>8.5955999999999992</v>
      </c>
      <c r="J3292" s="69"/>
      <c r="K3292" s="70"/>
      <c r="L3292" s="174">
        <v>0</v>
      </c>
    </row>
    <row r="3293" spans="1:12" ht="15.75" hidden="1" thickBot="1" x14ac:dyDescent="0.3">
      <c r="A3293" s="181"/>
      <c r="B3293" s="179"/>
      <c r="C3293" s="25" t="s">
        <v>471</v>
      </c>
      <c r="D3293" s="25" t="s">
        <v>75</v>
      </c>
      <c r="E3293" s="26">
        <v>4.5</v>
      </c>
      <c r="F3293" s="27" t="s">
        <v>1861</v>
      </c>
      <c r="G3293" s="46">
        <v>1.159</v>
      </c>
      <c r="H3293" s="27" t="s">
        <v>473</v>
      </c>
      <c r="I3293" s="46">
        <f>IF(ISNUMBER(G3293),E3293*G3293,"")</f>
        <v>5.2155000000000005</v>
      </c>
      <c r="J3293" s="69"/>
      <c r="K3293" s="70"/>
      <c r="L3293" s="174">
        <v>0</v>
      </c>
    </row>
    <row r="3294" spans="1:12" ht="15.75" hidden="1" thickBot="1" x14ac:dyDescent="0.3">
      <c r="A3294" s="181"/>
      <c r="B3294" s="179"/>
      <c r="C3294" s="25" t="s">
        <v>474</v>
      </c>
      <c r="D3294" s="25" t="s">
        <v>75</v>
      </c>
      <c r="E3294" s="26">
        <v>0.3</v>
      </c>
      <c r="F3294" s="27" t="s">
        <v>1861</v>
      </c>
      <c r="G3294" s="46">
        <v>2.1755</v>
      </c>
      <c r="H3294" s="27" t="s">
        <v>475</v>
      </c>
      <c r="I3294" s="46">
        <f>IF(ISNUMBER(G3294),E3294*G3294,"")</f>
        <v>0.65264999999999995</v>
      </c>
      <c r="J3294" s="69"/>
      <c r="K3294" s="70"/>
      <c r="L3294" s="174">
        <v>0</v>
      </c>
    </row>
    <row r="3295" spans="1:12" ht="15.75" hidden="1" thickBot="1" x14ac:dyDescent="0.3">
      <c r="A3295" s="182"/>
      <c r="B3295" s="183"/>
      <c r="C3295" s="25"/>
      <c r="D3295" s="25"/>
      <c r="E3295" s="26"/>
      <c r="F3295" s="27"/>
      <c r="G3295" s="46" t="s">
        <v>1079</v>
      </c>
      <c r="H3295" s="27"/>
      <c r="I3295" s="46" t="str">
        <f>IF(ISNUMBER(G3295),E3295*G3295,"")</f>
        <v/>
      </c>
      <c r="J3295" s="69"/>
      <c r="K3295" s="70"/>
      <c r="L3295" s="174">
        <v>0</v>
      </c>
    </row>
    <row r="3296" spans="1:12" ht="15.75" hidden="1" thickBot="1" x14ac:dyDescent="0.3">
      <c r="A3296" s="180" t="s">
        <v>1874</v>
      </c>
      <c r="B3296" s="178" t="str">
        <f>INDEX(Orçamentária!A:B,MATCH(Composições!A3296,Orçamentária!A:A,0),2)</f>
        <v>Instalação de placas de rocha ornamental reaproveitadas, por meio de argamassa e fixadores metálicos</v>
      </c>
      <c r="C3296" s="30"/>
      <c r="D3296" s="13" t="str">
        <f>TRIM(INDEX(Orçamentária!C:C,MATCH(Composições!A3296,Orçamentária!A:A,0),1))</f>
        <v>m2</v>
      </c>
      <c r="E3296" s="14"/>
      <c r="F3296" s="15" t="s">
        <v>17</v>
      </c>
      <c r="G3296" s="40" t="s">
        <v>1079</v>
      </c>
      <c r="H3296" s="16"/>
      <c r="I3296" s="16" t="str">
        <f>IF(ISNUMBER(G3296),E3296*G3296,"")</f>
        <v/>
      </c>
      <c r="J3296" s="17"/>
      <c r="K3296" s="18"/>
      <c r="L3296" s="174">
        <v>0</v>
      </c>
    </row>
    <row r="3297" spans="1:12" ht="15.75" hidden="1" thickBot="1" x14ac:dyDescent="0.3">
      <c r="A3297" s="181"/>
      <c r="B3297" s="179"/>
      <c r="C3297" s="20"/>
      <c r="D3297" s="20"/>
      <c r="E3297" s="21"/>
      <c r="F3297" s="22"/>
      <c r="G3297" s="46" t="s">
        <v>1079</v>
      </c>
      <c r="H3297" s="20"/>
      <c r="I3297" s="46" t="str">
        <f>IF(ISNUMBER(G3297),E3297*G3297,"")</f>
        <v/>
      </c>
      <c r="J3297" s="69"/>
      <c r="K3297" s="70"/>
      <c r="L3297" s="174">
        <v>0</v>
      </c>
    </row>
    <row r="3298" spans="1:12" ht="15.75" hidden="1" thickBot="1" x14ac:dyDescent="0.3">
      <c r="A3298" s="181"/>
      <c r="B3298" s="179"/>
      <c r="C3298" s="25" t="s">
        <v>101</v>
      </c>
      <c r="D3298" s="25" t="s">
        <v>21</v>
      </c>
      <c r="E3298" s="26">
        <f>1.35</f>
        <v>1.35</v>
      </c>
      <c r="F3298" s="27" t="s">
        <v>17</v>
      </c>
      <c r="G3298" s="46">
        <v>16.093</v>
      </c>
      <c r="H3298" s="27" t="s">
        <v>103</v>
      </c>
      <c r="I3298" s="46">
        <f>IF(ISNUMBER(G3298),E3298*G3298,"")</f>
        <v>21.725550000000002</v>
      </c>
      <c r="J3298" s="28">
        <f>SUM(I3298:I3307)</f>
        <v>52.105337782424996</v>
      </c>
      <c r="K3298" s="29"/>
      <c r="L3298" s="174">
        <v>0</v>
      </c>
    </row>
    <row r="3299" spans="1:12" ht="15.75" hidden="1" thickBot="1" x14ac:dyDescent="0.3">
      <c r="A3299" s="181"/>
      <c r="B3299" s="179"/>
      <c r="C3299" s="25" t="s">
        <v>36</v>
      </c>
      <c r="D3299" s="25" t="s">
        <v>21</v>
      </c>
      <c r="E3299" s="26">
        <v>0.1</v>
      </c>
      <c r="F3299" s="27" t="s">
        <v>17</v>
      </c>
      <c r="G3299" s="46">
        <v>19.142499999999998</v>
      </c>
      <c r="H3299" s="27" t="s">
        <v>37</v>
      </c>
      <c r="I3299" s="46">
        <f>IF(ISNUMBER(G3299),E3299*G3299,"")</f>
        <v>1.91425</v>
      </c>
      <c r="J3299" s="69"/>
      <c r="K3299" s="70"/>
      <c r="L3299" s="174">
        <v>0</v>
      </c>
    </row>
    <row r="3300" spans="1:12" ht="15.75" hidden="1" thickBot="1" x14ac:dyDescent="0.3">
      <c r="A3300" s="181"/>
      <c r="B3300" s="179"/>
      <c r="C3300" s="25" t="s">
        <v>38</v>
      </c>
      <c r="D3300" s="25" t="s">
        <v>21</v>
      </c>
      <c r="E3300" s="26">
        <f>0.6+0.1+0.1</f>
        <v>0.79999999999999993</v>
      </c>
      <c r="F3300" s="27" t="s">
        <v>17</v>
      </c>
      <c r="G3300" s="46">
        <v>14.325999999999999</v>
      </c>
      <c r="H3300" s="27" t="s">
        <v>39</v>
      </c>
      <c r="I3300" s="46">
        <f>IF(ISNUMBER(G3300),E3300*G3300,"")</f>
        <v>11.460799999999997</v>
      </c>
      <c r="J3300" s="69"/>
      <c r="K3300" s="70"/>
      <c r="L3300" s="174">
        <v>0</v>
      </c>
    </row>
    <row r="3301" spans="1:12" ht="15.75" hidden="1" thickBot="1" x14ac:dyDescent="0.3">
      <c r="A3301" s="181"/>
      <c r="B3301" s="179"/>
      <c r="C3301" s="25" t="s">
        <v>471</v>
      </c>
      <c r="D3301" s="25" t="s">
        <v>75</v>
      </c>
      <c r="E3301" s="26">
        <v>4.5</v>
      </c>
      <c r="F3301" s="27" t="s">
        <v>17</v>
      </c>
      <c r="G3301" s="46">
        <v>1.159</v>
      </c>
      <c r="H3301" s="27" t="s">
        <v>473</v>
      </c>
      <c r="I3301" s="46">
        <f>IF(ISNUMBER(G3301),E3301*G3301,"")</f>
        <v>5.2155000000000005</v>
      </c>
      <c r="J3301" s="69"/>
      <c r="K3301" s="70"/>
      <c r="L3301" s="174">
        <v>0</v>
      </c>
    </row>
    <row r="3302" spans="1:12" ht="15.75" hidden="1" thickBot="1" x14ac:dyDescent="0.3">
      <c r="A3302" s="181"/>
      <c r="B3302" s="179"/>
      <c r="C3302" s="25" t="s">
        <v>474</v>
      </c>
      <c r="D3302" s="25" t="s">
        <v>75</v>
      </c>
      <c r="E3302" s="26">
        <v>0.3</v>
      </c>
      <c r="F3302" s="27" t="s">
        <v>17</v>
      </c>
      <c r="G3302" s="46">
        <v>2.1755</v>
      </c>
      <c r="H3302" s="27" t="s">
        <v>475</v>
      </c>
      <c r="I3302" s="46">
        <f>IF(ISNUMBER(G3302),E3302*G3302,"")</f>
        <v>0.65264999999999995</v>
      </c>
      <c r="J3302" s="69"/>
      <c r="K3302" s="70"/>
      <c r="L3302" s="174">
        <v>0</v>
      </c>
    </row>
    <row r="3303" spans="1:12" ht="26.25" hidden="1" thickBot="1" x14ac:dyDescent="0.3">
      <c r="A3303" s="181"/>
      <c r="B3303" s="179"/>
      <c r="C3303" s="25" t="s">
        <v>1863</v>
      </c>
      <c r="D3303" s="25" t="s">
        <v>588</v>
      </c>
      <c r="E3303" s="26">
        <f>2/(0.4*0.8)</f>
        <v>6.2499999999999991</v>
      </c>
      <c r="F3303" s="27" t="s">
        <v>17</v>
      </c>
      <c r="G3303" s="46">
        <v>1.7765</v>
      </c>
      <c r="H3303" s="27" t="s">
        <v>1864</v>
      </c>
      <c r="I3303" s="46">
        <f>IF(ISNUMBER(G3303),E3303*G3303,"")</f>
        <v>11.103124999999999</v>
      </c>
      <c r="J3303" s="69"/>
      <c r="K3303" s="70"/>
      <c r="L3303" s="174">
        <v>0</v>
      </c>
    </row>
    <row r="3304" spans="1:12" ht="15.75" hidden="1" thickBot="1" x14ac:dyDescent="0.3">
      <c r="A3304" s="181"/>
      <c r="B3304" s="179"/>
      <c r="C3304" s="25" t="s">
        <v>1850</v>
      </c>
      <c r="D3304" s="25" t="s">
        <v>305</v>
      </c>
      <c r="E3304" s="26">
        <f>(2/(0.4*0.8))*(0.016)*1.5</f>
        <v>0.15</v>
      </c>
      <c r="F3304" s="27" t="s">
        <v>17</v>
      </c>
      <c r="G3304" s="46">
        <v>0</v>
      </c>
      <c r="H3304" s="27" t="s">
        <v>4600</v>
      </c>
      <c r="I3304" s="46">
        <f>IF(ISNUMBER(G3304),E3304*G3304,"")</f>
        <v>0</v>
      </c>
      <c r="J3304" s="69"/>
      <c r="K3304" s="70"/>
      <c r="L3304" s="174">
        <v>0</v>
      </c>
    </row>
    <row r="3305" spans="1:12" ht="15.75" hidden="1" thickBot="1" x14ac:dyDescent="0.3">
      <c r="A3305" s="181"/>
      <c r="B3305" s="179"/>
      <c r="C3305" s="25" t="s">
        <v>1851</v>
      </c>
      <c r="D3305" s="25" t="s">
        <v>1852</v>
      </c>
      <c r="E3305" s="26">
        <f>(2/(0.4*0.8))*0.1*1.5</f>
        <v>0.9375</v>
      </c>
      <c r="F3305" s="27" t="s">
        <v>17</v>
      </c>
      <c r="G3305" s="46">
        <v>0</v>
      </c>
      <c r="H3305" s="27" t="s">
        <v>4600</v>
      </c>
      <c r="I3305" s="46">
        <f>IF(ISNUMBER(G3305),E3305*G3305,"")</f>
        <v>0</v>
      </c>
      <c r="J3305" s="69"/>
      <c r="K3305" s="70"/>
      <c r="L3305" s="174">
        <v>0</v>
      </c>
    </row>
    <row r="3306" spans="1:12" ht="15.75" hidden="1" thickBot="1" x14ac:dyDescent="0.3">
      <c r="A3306" s="181"/>
      <c r="B3306" s="179"/>
      <c r="C3306" s="25" t="s">
        <v>1865</v>
      </c>
      <c r="D3306" s="25" t="s">
        <v>305</v>
      </c>
      <c r="E3306" s="26">
        <f>2/(0.4*0.8)</f>
        <v>6.2499999999999991</v>
      </c>
      <c r="F3306" s="27" t="s">
        <v>17</v>
      </c>
      <c r="G3306" s="46" t="s">
        <v>1079</v>
      </c>
      <c r="H3306" s="27" t="s">
        <v>33</v>
      </c>
      <c r="I3306" s="46" t="str">
        <f>IF(ISNUMBER(G3306),E3306*G3306,"")</f>
        <v/>
      </c>
      <c r="J3306" s="69"/>
      <c r="K3306" s="70"/>
      <c r="L3306" s="174">
        <v>0</v>
      </c>
    </row>
    <row r="3307" spans="1:12" ht="39" hidden="1" thickBot="1" x14ac:dyDescent="0.3">
      <c r="A3307" s="181"/>
      <c r="B3307" s="179"/>
      <c r="C3307" s="25" t="s">
        <v>1853</v>
      </c>
      <c r="D3307" s="25" t="s">
        <v>228</v>
      </c>
      <c r="E3307" s="26">
        <v>1E-4</v>
      </c>
      <c r="F3307" s="27" t="s">
        <v>17</v>
      </c>
      <c r="G3307" s="46">
        <v>334.62782424999995</v>
      </c>
      <c r="H3307" s="27" t="s">
        <v>1854</v>
      </c>
      <c r="I3307" s="46">
        <f>IF(ISNUMBER(G3307),E3307*G3307,"")</f>
        <v>3.3462782424999997E-2</v>
      </c>
      <c r="J3307" s="69"/>
      <c r="K3307" s="70"/>
      <c r="L3307" s="174">
        <v>0</v>
      </c>
    </row>
    <row r="3308" spans="1:12" ht="15.75" hidden="1" thickBot="1" x14ac:dyDescent="0.3">
      <c r="A3308" s="181"/>
      <c r="B3308" s="179"/>
      <c r="C3308" s="25"/>
      <c r="D3308" s="25"/>
      <c r="E3308" s="26"/>
      <c r="F3308" s="27"/>
      <c r="G3308" s="46" t="s">
        <v>1079</v>
      </c>
      <c r="H3308" s="27"/>
      <c r="I3308" s="46" t="str">
        <f>IF(ISNUMBER(G3308),E3308*G3308,"")</f>
        <v/>
      </c>
      <c r="J3308" s="69"/>
      <c r="K3308" s="70"/>
      <c r="L3308" s="174">
        <v>0</v>
      </c>
    </row>
    <row r="3309" spans="1:12" ht="15.75" hidden="1" thickBot="1" x14ac:dyDescent="0.3">
      <c r="A3309" s="181"/>
      <c r="B3309" s="179"/>
      <c r="C3309" s="171" t="s">
        <v>1866</v>
      </c>
      <c r="D3309" s="25"/>
      <c r="E3309" s="26"/>
      <c r="F3309" s="27"/>
      <c r="G3309" s="46" t="s">
        <v>1079</v>
      </c>
      <c r="H3309" s="27"/>
      <c r="I3309" s="46" t="str">
        <f>IF(ISNUMBER(G3309),E3309*G3309,"")</f>
        <v/>
      </c>
      <c r="J3309" s="69"/>
      <c r="K3309" s="70"/>
      <c r="L3309" s="174">
        <v>0</v>
      </c>
    </row>
    <row r="3310" spans="1:12" ht="26.25" hidden="1" thickBot="1" x14ac:dyDescent="0.3">
      <c r="A3310" s="181"/>
      <c r="B3310" s="179"/>
      <c r="C3310" s="171" t="s">
        <v>1867</v>
      </c>
      <c r="D3310" s="25"/>
      <c r="E3310" s="26"/>
      <c r="F3310" s="27"/>
      <c r="G3310" s="46" t="s">
        <v>1079</v>
      </c>
      <c r="H3310" s="27"/>
      <c r="I3310" s="46" t="str">
        <f>IF(ISNUMBER(G3310),E3310*G3310,"")</f>
        <v/>
      </c>
      <c r="J3310" s="69"/>
      <c r="K3310" s="70"/>
      <c r="L3310" s="174">
        <v>0</v>
      </c>
    </row>
    <row r="3311" spans="1:12" ht="15.75" hidden="1" thickBot="1" x14ac:dyDescent="0.3">
      <c r="A3311" s="182"/>
      <c r="B3311" s="183"/>
      <c r="C3311" s="25"/>
      <c r="D3311" s="25"/>
      <c r="E3311" s="26"/>
      <c r="F3311" s="27"/>
      <c r="G3311" s="46" t="s">
        <v>1079</v>
      </c>
      <c r="H3311" s="27"/>
      <c r="I3311" s="46" t="str">
        <f>IF(ISNUMBER(G3311),E3311*G3311,"")</f>
        <v/>
      </c>
      <c r="J3311" s="69"/>
      <c r="K3311" s="70"/>
      <c r="L3311" s="174">
        <v>0</v>
      </c>
    </row>
    <row r="3312" spans="1:12" ht="15.75" hidden="1" thickBot="1" x14ac:dyDescent="0.3">
      <c r="A3312" s="180" t="s">
        <v>1875</v>
      </c>
      <c r="B3312" s="178" t="str">
        <f>INDEX(Orçamentária!A:B,MATCH(Composições!A3312,Orçamentária!A:A,0),2)</f>
        <v>Aplicação de hidrofugante à base de silano e silicone</v>
      </c>
      <c r="C3312" s="30"/>
      <c r="D3312" s="13" t="str">
        <f>TRIM(INDEX(Orçamentária!C:C,MATCH(Composições!A3312,Orçamentária!A:A,0),1))</f>
        <v>m2</v>
      </c>
      <c r="E3312" s="14"/>
      <c r="F3312" s="15" t="s">
        <v>1876</v>
      </c>
      <c r="G3312" s="40" t="s">
        <v>1079</v>
      </c>
      <c r="H3312" s="16"/>
      <c r="I3312" s="16" t="str">
        <f>IF(ISNUMBER(G3312),E3312*G3312,"")</f>
        <v/>
      </c>
      <c r="J3312" s="17"/>
      <c r="K3312" s="18"/>
      <c r="L3312" s="174">
        <v>0</v>
      </c>
    </row>
    <row r="3313" spans="1:12" ht="15.75" hidden="1" thickBot="1" x14ac:dyDescent="0.3">
      <c r="A3313" s="186"/>
      <c r="B3313" s="179"/>
      <c r="C3313" s="20"/>
      <c r="D3313" s="20"/>
      <c r="E3313" s="21"/>
      <c r="F3313" s="22"/>
      <c r="G3313" s="46" t="s">
        <v>1079</v>
      </c>
      <c r="H3313" s="20"/>
      <c r="I3313" s="46" t="str">
        <f>IF(ISNUMBER(G3313),E3313*G3313,"")</f>
        <v/>
      </c>
      <c r="J3313" s="69"/>
      <c r="K3313" s="70"/>
      <c r="L3313" s="174">
        <v>0</v>
      </c>
    </row>
    <row r="3314" spans="1:12" ht="15.75" hidden="1" thickBot="1" x14ac:dyDescent="0.3">
      <c r="A3314" s="186"/>
      <c r="B3314" s="179"/>
      <c r="C3314" s="25" t="s">
        <v>205</v>
      </c>
      <c r="D3314" s="25" t="s">
        <v>21</v>
      </c>
      <c r="E3314" s="26">
        <v>0.4</v>
      </c>
      <c r="F3314" s="27" t="s">
        <v>1877</v>
      </c>
      <c r="G3314" s="46">
        <v>20.196999999999999</v>
      </c>
      <c r="H3314" s="27" t="s">
        <v>206</v>
      </c>
      <c r="I3314" s="46">
        <f>IF(ISNUMBER(G3314),E3314*G3314,"")</f>
        <v>8.0787999999999993</v>
      </c>
      <c r="J3314" s="28">
        <f>SUM(I3314:I3316)</f>
        <v>9.7194499999999984</v>
      </c>
      <c r="K3314" s="29"/>
      <c r="L3314" s="174">
        <v>0</v>
      </c>
    </row>
    <row r="3315" spans="1:12" ht="15.75" hidden="1" thickBot="1" x14ac:dyDescent="0.3">
      <c r="A3315" s="186"/>
      <c r="B3315" s="179"/>
      <c r="C3315" s="25" t="s">
        <v>1878</v>
      </c>
      <c r="D3315" s="25" t="s">
        <v>21</v>
      </c>
      <c r="E3315" s="26">
        <v>0.1</v>
      </c>
      <c r="F3315" s="27" t="s">
        <v>1877</v>
      </c>
      <c r="G3315" s="46">
        <v>16.406499999999998</v>
      </c>
      <c r="H3315" s="27" t="s">
        <v>204</v>
      </c>
      <c r="I3315" s="46">
        <f>IF(ISNUMBER(G3315),E3315*G3315,"")</f>
        <v>1.6406499999999999</v>
      </c>
      <c r="J3315" s="69"/>
      <c r="K3315" s="70"/>
      <c r="L3315" s="174">
        <v>0</v>
      </c>
    </row>
    <row r="3316" spans="1:12" ht="15.75" hidden="1" thickBot="1" x14ac:dyDescent="0.3">
      <c r="A3316" s="186"/>
      <c r="B3316" s="179"/>
      <c r="C3316" s="25" t="s">
        <v>1879</v>
      </c>
      <c r="D3316" s="41" t="s">
        <v>208</v>
      </c>
      <c r="E3316" s="26">
        <v>0.33</v>
      </c>
      <c r="F3316" s="27" t="s">
        <v>1877</v>
      </c>
      <c r="G3316" s="46">
        <v>0</v>
      </c>
      <c r="H3316" s="27" t="s">
        <v>1880</v>
      </c>
      <c r="I3316" s="46">
        <f>IF(ISNUMBER(G3316),E3316*G3316,"")</f>
        <v>0</v>
      </c>
      <c r="J3316" s="69"/>
      <c r="K3316" s="70"/>
      <c r="L3316" s="174">
        <v>0</v>
      </c>
    </row>
    <row r="3317" spans="1:12" ht="15.75" hidden="1" thickBot="1" x14ac:dyDescent="0.3">
      <c r="A3317" s="187"/>
      <c r="B3317" s="183"/>
      <c r="C3317" s="25"/>
      <c r="D3317" s="25"/>
      <c r="E3317" s="26"/>
      <c r="F3317" s="27"/>
      <c r="G3317" s="46" t="s">
        <v>1079</v>
      </c>
      <c r="H3317" s="27"/>
      <c r="I3317" s="46" t="str">
        <f>IF(ISNUMBER(G3317),E3317*G3317,"")</f>
        <v/>
      </c>
      <c r="J3317" s="69"/>
      <c r="K3317" s="70"/>
      <c r="L3317" s="174">
        <v>0</v>
      </c>
    </row>
    <row r="3318" spans="1:12" ht="15.75" hidden="1" thickBot="1" x14ac:dyDescent="0.3">
      <c r="A3318" s="180" t="s">
        <v>1881</v>
      </c>
      <c r="B3318" s="178" t="str">
        <f>INDEX(Orçamentária!A:B,MATCH(Composições!A3318,Orçamentária!A:A,0),2)</f>
        <v>Cantoneira em alumínio abas iguais 1" x 1/8" – Pingadeira “L”</v>
      </c>
      <c r="C3318" s="30"/>
      <c r="D3318" s="13" t="str">
        <f>TRIM(INDEX(Orçamentária!C:C,MATCH(Composições!A3318,Orçamentária!A:A,0),1))</f>
        <v>m</v>
      </c>
      <c r="E3318" s="14"/>
      <c r="F3318" s="15" t="s">
        <v>1882</v>
      </c>
      <c r="G3318" s="40" t="s">
        <v>1079</v>
      </c>
      <c r="H3318" s="16"/>
      <c r="I3318" s="16" t="str">
        <f>IF(ISNUMBER(G3318),E3318*G3318,"")</f>
        <v/>
      </c>
      <c r="J3318" s="17"/>
      <c r="K3318" s="18"/>
      <c r="L3318" s="174">
        <v>0</v>
      </c>
    </row>
    <row r="3319" spans="1:12" ht="15.75" hidden="1" thickBot="1" x14ac:dyDescent="0.3">
      <c r="A3319" s="186"/>
      <c r="B3319" s="179"/>
      <c r="C3319" s="20"/>
      <c r="D3319" s="20"/>
      <c r="E3319" s="21"/>
      <c r="F3319" s="22"/>
      <c r="G3319" s="46" t="s">
        <v>1079</v>
      </c>
      <c r="H3319" s="20"/>
      <c r="I3319" s="46" t="str">
        <f>IF(ISNUMBER(G3319),E3319*G3319,"")</f>
        <v/>
      </c>
      <c r="J3319" s="69"/>
      <c r="K3319" s="70"/>
      <c r="L3319" s="174">
        <v>0</v>
      </c>
    </row>
    <row r="3320" spans="1:12" ht="15.75" hidden="1" thickBot="1" x14ac:dyDescent="0.3">
      <c r="A3320" s="186"/>
      <c r="B3320" s="179"/>
      <c r="C3320" s="25" t="s">
        <v>101</v>
      </c>
      <c r="D3320" s="25" t="s">
        <v>21</v>
      </c>
      <c r="E3320" s="26">
        <v>0.6</v>
      </c>
      <c r="F3320" s="27" t="s">
        <v>1883</v>
      </c>
      <c r="G3320" s="46">
        <v>16.093</v>
      </c>
      <c r="H3320" s="27" t="s">
        <v>103</v>
      </c>
      <c r="I3320" s="46">
        <f>IF(ISNUMBER(G3320),E3320*G3320,"")</f>
        <v>9.6557999999999993</v>
      </c>
      <c r="J3320" s="28">
        <f>SUM(I3320:I3322)</f>
        <v>15.386199999999999</v>
      </c>
      <c r="K3320" s="29"/>
      <c r="L3320" s="174">
        <v>0</v>
      </c>
    </row>
    <row r="3321" spans="1:12" ht="15.75" hidden="1" thickBot="1" x14ac:dyDescent="0.3">
      <c r="A3321" s="186"/>
      <c r="B3321" s="179"/>
      <c r="C3321" s="25" t="s">
        <v>38</v>
      </c>
      <c r="D3321" s="25" t="s">
        <v>21</v>
      </c>
      <c r="E3321" s="26">
        <v>0.4</v>
      </c>
      <c r="F3321" s="27" t="s">
        <v>1883</v>
      </c>
      <c r="G3321" s="46">
        <v>14.325999999999999</v>
      </c>
      <c r="H3321" s="27" t="s">
        <v>39</v>
      </c>
      <c r="I3321" s="46">
        <f>IF(ISNUMBER(G3321),E3321*G3321,"")</f>
        <v>5.7303999999999995</v>
      </c>
      <c r="J3321" s="69"/>
      <c r="K3321" s="70"/>
      <c r="L3321" s="174">
        <v>0</v>
      </c>
    </row>
    <row r="3322" spans="1:12" ht="26.25" hidden="1" thickBot="1" x14ac:dyDescent="0.3">
      <c r="A3322" s="186"/>
      <c r="B3322" s="179"/>
      <c r="C3322" s="25" t="s">
        <v>1884</v>
      </c>
      <c r="D3322" s="36" t="s">
        <v>184</v>
      </c>
      <c r="E3322" s="26">
        <v>1</v>
      </c>
      <c r="F3322" s="27" t="s">
        <v>1883</v>
      </c>
      <c r="G3322" s="46" t="s">
        <v>1079</v>
      </c>
      <c r="H3322" s="27" t="s">
        <v>33</v>
      </c>
      <c r="I3322" s="46" t="str">
        <f>IF(ISNUMBER(G3322),E3322*G3322,"")</f>
        <v/>
      </c>
      <c r="J3322" s="69"/>
      <c r="K3322" s="70"/>
      <c r="L3322" s="174">
        <v>0</v>
      </c>
    </row>
    <row r="3323" spans="1:12" ht="15.75" hidden="1" thickBot="1" x14ac:dyDescent="0.3">
      <c r="A3323" s="187"/>
      <c r="B3323" s="183"/>
      <c r="C3323" s="25"/>
      <c r="D3323" s="25"/>
      <c r="E3323" s="26"/>
      <c r="F3323" s="27"/>
      <c r="G3323" s="46" t="s">
        <v>1079</v>
      </c>
      <c r="H3323" s="27"/>
      <c r="I3323" s="46" t="str">
        <f>IF(ISNUMBER(G3323),E3323*G3323,"")</f>
        <v/>
      </c>
      <c r="J3323" s="69"/>
      <c r="K3323" s="70"/>
      <c r="L3323" s="174">
        <v>0</v>
      </c>
    </row>
    <row r="3324" spans="1:12" ht="15.75" hidden="1" thickBot="1" x14ac:dyDescent="0.3">
      <c r="A3324" s="180" t="s">
        <v>1885</v>
      </c>
      <c r="B3324" s="178" t="str">
        <f>INDEX(Orçamentária!A:B,MATCH(Composições!A3324,Orçamentária!A:A,0),2)</f>
        <v>Granito Amarelo Maracujá para rodapé</v>
      </c>
      <c r="C3324" s="30"/>
      <c r="D3324" s="13" t="str">
        <f>TRIM(INDEX(Orçamentária!C:C,MATCH(Composições!A3324,Orçamentária!A:A,0),1))</f>
        <v>m2</v>
      </c>
      <c r="E3324" s="14"/>
      <c r="F3324" s="15" t="s">
        <v>478</v>
      </c>
      <c r="G3324" s="40" t="s">
        <v>1079</v>
      </c>
      <c r="H3324" s="16"/>
      <c r="I3324" s="16" t="str">
        <f>IF(ISNUMBER(G3324),E3324*G3324,"")</f>
        <v/>
      </c>
      <c r="J3324" s="17"/>
      <c r="K3324" s="18"/>
      <c r="L3324" s="174">
        <v>0</v>
      </c>
    </row>
    <row r="3325" spans="1:12" ht="15.75" hidden="1" thickBot="1" x14ac:dyDescent="0.3">
      <c r="A3325" s="186"/>
      <c r="B3325" s="179"/>
      <c r="C3325" s="20"/>
      <c r="D3325" s="20"/>
      <c r="E3325" s="21"/>
      <c r="F3325" s="22"/>
      <c r="G3325" s="46" t="s">
        <v>1079</v>
      </c>
      <c r="H3325" s="20"/>
      <c r="I3325" s="46" t="str">
        <f>IF(ISNUMBER(G3325),E3325*G3325,"")</f>
        <v/>
      </c>
      <c r="J3325" s="69"/>
      <c r="K3325" s="70"/>
      <c r="L3325" s="174">
        <v>0</v>
      </c>
    </row>
    <row r="3326" spans="1:12" ht="15.75" hidden="1" thickBot="1" x14ac:dyDescent="0.3">
      <c r="A3326" s="186"/>
      <c r="B3326" s="179"/>
      <c r="C3326" s="25" t="s">
        <v>1886</v>
      </c>
      <c r="D3326" s="25" t="s">
        <v>189</v>
      </c>
      <c r="E3326" s="26">
        <v>1.05</v>
      </c>
      <c r="F3326" s="27" t="s">
        <v>540</v>
      </c>
      <c r="G3326" s="46" t="s">
        <v>1079</v>
      </c>
      <c r="H3326" s="27" t="s">
        <v>33</v>
      </c>
      <c r="I3326" s="46" t="str">
        <f>IF(ISNUMBER(G3326),E3326*G3326,"")</f>
        <v/>
      </c>
      <c r="J3326" s="28">
        <f>SUM(I3326:I3330)</f>
        <v>82.486295999999996</v>
      </c>
      <c r="K3326" s="29"/>
      <c r="L3326" s="174">
        <v>0</v>
      </c>
    </row>
    <row r="3327" spans="1:12" ht="15.75" hidden="1" thickBot="1" x14ac:dyDescent="0.3">
      <c r="A3327" s="186"/>
      <c r="B3327" s="179"/>
      <c r="C3327" s="25" t="s">
        <v>471</v>
      </c>
      <c r="D3327" s="25" t="s">
        <v>75</v>
      </c>
      <c r="E3327" s="26">
        <f>0.8614/0.1</f>
        <v>8.6140000000000008</v>
      </c>
      <c r="F3327" s="27" t="s">
        <v>540</v>
      </c>
      <c r="G3327" s="46">
        <v>1.159</v>
      </c>
      <c r="H3327" s="27" t="s">
        <v>473</v>
      </c>
      <c r="I3327" s="46">
        <f>IF(ISNUMBER(G3327),E3327*G3327,"")</f>
        <v>9.983626000000001</v>
      </c>
      <c r="J3327" s="69"/>
      <c r="K3327" s="70"/>
      <c r="L3327" s="174">
        <v>0</v>
      </c>
    </row>
    <row r="3328" spans="1:12" ht="15.75" hidden="1" thickBot="1" x14ac:dyDescent="0.3">
      <c r="A3328" s="186"/>
      <c r="B3328" s="179"/>
      <c r="C3328" s="25" t="s">
        <v>101</v>
      </c>
      <c r="D3328" s="25" t="s">
        <v>21</v>
      </c>
      <c r="E3328" s="26">
        <f>0.299/0.1</f>
        <v>2.9899999999999998</v>
      </c>
      <c r="F3328" s="27" t="s">
        <v>540</v>
      </c>
      <c r="G3328" s="46">
        <v>16.093</v>
      </c>
      <c r="H3328" s="27" t="s">
        <v>103</v>
      </c>
      <c r="I3328" s="46">
        <f>IF(ISNUMBER(G3328),E3328*G3328,"")</f>
        <v>48.118069999999996</v>
      </c>
      <c r="J3328" s="69"/>
      <c r="K3328" s="70"/>
      <c r="L3328" s="174">
        <v>0</v>
      </c>
    </row>
    <row r="3329" spans="1:12" ht="15.75" hidden="1" thickBot="1" x14ac:dyDescent="0.3">
      <c r="A3329" s="186"/>
      <c r="B3329" s="179"/>
      <c r="C3329" s="25" t="s">
        <v>38</v>
      </c>
      <c r="D3329" s="25" t="s">
        <v>21</v>
      </c>
      <c r="E3329" s="26">
        <f>0.15/0.1</f>
        <v>1.4999999999999998</v>
      </c>
      <c r="F3329" s="27" t="s">
        <v>540</v>
      </c>
      <c r="G3329" s="46">
        <v>14.325999999999999</v>
      </c>
      <c r="H3329" s="27" t="s">
        <v>39</v>
      </c>
      <c r="I3329" s="46">
        <f>IF(ISNUMBER(G3329),E3329*G3329,"")</f>
        <v>21.488999999999994</v>
      </c>
      <c r="J3329" s="69"/>
      <c r="K3329" s="70"/>
      <c r="L3329" s="174">
        <v>0</v>
      </c>
    </row>
    <row r="3330" spans="1:12" ht="15.75" hidden="1" thickBot="1" x14ac:dyDescent="0.3">
      <c r="A3330" s="186"/>
      <c r="B3330" s="179"/>
      <c r="C3330" s="25" t="s">
        <v>457</v>
      </c>
      <c r="D3330" s="25" t="s">
        <v>75</v>
      </c>
      <c r="E3330" s="26">
        <f>0.12/0.1</f>
        <v>1.2</v>
      </c>
      <c r="F3330" s="27" t="s">
        <v>540</v>
      </c>
      <c r="G3330" s="46">
        <v>2.4129999999999998</v>
      </c>
      <c r="H3330" s="27" t="s">
        <v>458</v>
      </c>
      <c r="I3330" s="46">
        <f>IF(ISNUMBER(G3330),E3330*G3330,"")</f>
        <v>2.8955999999999995</v>
      </c>
      <c r="J3330" s="69"/>
      <c r="K3330" s="70"/>
      <c r="L3330" s="174">
        <v>0</v>
      </c>
    </row>
    <row r="3331" spans="1:12" ht="15.75" hidden="1" thickBot="1" x14ac:dyDescent="0.3">
      <c r="A3331" s="186"/>
      <c r="B3331" s="179"/>
      <c r="C3331" s="25"/>
      <c r="D3331" s="25"/>
      <c r="E3331" s="26"/>
      <c r="F3331" s="27"/>
      <c r="G3331" s="46" t="s">
        <v>1079</v>
      </c>
      <c r="H3331" s="27"/>
      <c r="I3331" s="46" t="str">
        <f>IF(ISNUMBER(G3331),E3331*G3331,"")</f>
        <v/>
      </c>
      <c r="J3331" s="69"/>
      <c r="K3331" s="70"/>
      <c r="L3331" s="174">
        <v>0</v>
      </c>
    </row>
    <row r="3332" spans="1:12" ht="15.75" hidden="1" thickBot="1" x14ac:dyDescent="0.3">
      <c r="A3332" s="180" t="s">
        <v>1887</v>
      </c>
      <c r="B3332" s="178" t="str">
        <f>INDEX(Orçamentária!A:B,MATCH(Composições!A3332,Orçamentária!A:A,0),2)</f>
        <v>Acabamento das extremidades aparentes dos parafusos de fixação (lixamento e revestimento)</v>
      </c>
      <c r="C3332" s="30"/>
      <c r="D3332" s="13" t="str">
        <f>TRIM(INDEX(Orçamentária!C:C,MATCH(Composições!A3332,Orçamentária!A:A,0),1))</f>
        <v>un</v>
      </c>
      <c r="E3332" s="14"/>
      <c r="F3332" s="15" t="s">
        <v>17</v>
      </c>
      <c r="G3332" s="40" t="s">
        <v>1079</v>
      </c>
      <c r="H3332" s="16"/>
      <c r="I3332" s="16" t="str">
        <f>IF(ISNUMBER(G3332),E3332*G3332,"")</f>
        <v/>
      </c>
      <c r="J3332" s="17"/>
      <c r="K3332" s="18"/>
      <c r="L3332" s="174">
        <v>0</v>
      </c>
    </row>
    <row r="3333" spans="1:12" ht="15.75" hidden="1" thickBot="1" x14ac:dyDescent="0.3">
      <c r="A3333" s="186"/>
      <c r="B3333" s="179"/>
      <c r="C3333" s="20"/>
      <c r="D3333" s="20"/>
      <c r="E3333" s="21"/>
      <c r="F3333" s="22"/>
      <c r="G3333" s="46" t="s">
        <v>1079</v>
      </c>
      <c r="H3333" s="20"/>
      <c r="I3333" s="46" t="str">
        <f>IF(ISNUMBER(G3333),E3333*G3333,"")</f>
        <v/>
      </c>
      <c r="J3333" s="69"/>
      <c r="K3333" s="70"/>
      <c r="L3333" s="174">
        <v>0</v>
      </c>
    </row>
    <row r="3334" spans="1:12" ht="15.75" hidden="1" thickBot="1" x14ac:dyDescent="0.3">
      <c r="A3334" s="186"/>
      <c r="B3334" s="179"/>
      <c r="C3334" s="25" t="s">
        <v>38</v>
      </c>
      <c r="D3334" s="25" t="s">
        <v>21</v>
      </c>
      <c r="E3334" s="26">
        <v>0.05</v>
      </c>
      <c r="F3334" s="27" t="s">
        <v>17</v>
      </c>
      <c r="G3334" s="46">
        <v>14.325999999999999</v>
      </c>
      <c r="H3334" s="27" t="s">
        <v>39</v>
      </c>
      <c r="I3334" s="46">
        <f>IF(ISNUMBER(G3334),E3334*G3334,"")</f>
        <v>0.71629999999999994</v>
      </c>
      <c r="J3334" s="28">
        <f>SUM(I3334:I3337)</f>
        <v>0.825075</v>
      </c>
      <c r="K3334" s="29"/>
      <c r="L3334" s="174">
        <v>0</v>
      </c>
    </row>
    <row r="3335" spans="1:12" ht="15.75" hidden="1" thickBot="1" x14ac:dyDescent="0.3">
      <c r="A3335" s="186"/>
      <c r="B3335" s="179"/>
      <c r="C3335" s="25" t="s">
        <v>1888</v>
      </c>
      <c r="D3335" s="25" t="s">
        <v>1889</v>
      </c>
      <c r="E3335" s="26">
        <f>0.25/10</f>
        <v>2.5000000000000001E-2</v>
      </c>
      <c r="F3335" s="27" t="s">
        <v>17</v>
      </c>
      <c r="G3335" s="46">
        <v>0</v>
      </c>
      <c r="H3335" s="27" t="s">
        <v>1890</v>
      </c>
      <c r="I3335" s="46">
        <f>IF(ISNUMBER(G3335),E3335*G3335,"")</f>
        <v>0</v>
      </c>
      <c r="J3335" s="69"/>
      <c r="K3335" s="70"/>
      <c r="L3335" s="174">
        <v>0</v>
      </c>
    </row>
    <row r="3336" spans="1:12" ht="15.75" hidden="1" thickBot="1" x14ac:dyDescent="0.3">
      <c r="A3336" s="186"/>
      <c r="B3336" s="179"/>
      <c r="C3336" s="25" t="s">
        <v>1891</v>
      </c>
      <c r="D3336" s="25" t="s">
        <v>32</v>
      </c>
      <c r="E3336" s="26">
        <v>0.25</v>
      </c>
      <c r="F3336" s="27" t="s">
        <v>17</v>
      </c>
      <c r="G3336" s="46" t="s">
        <v>1079</v>
      </c>
      <c r="H3336" s="27" t="s">
        <v>33</v>
      </c>
      <c r="I3336" s="46" t="str">
        <f>IF(ISNUMBER(G3336),E3336*G3336,"")</f>
        <v/>
      </c>
      <c r="J3336" s="69"/>
      <c r="K3336" s="70"/>
      <c r="L3336" s="174">
        <v>0</v>
      </c>
    </row>
    <row r="3337" spans="1:12" ht="15.75" hidden="1" thickBot="1" x14ac:dyDescent="0.3">
      <c r="A3337" s="186"/>
      <c r="B3337" s="179"/>
      <c r="C3337" s="25" t="s">
        <v>474</v>
      </c>
      <c r="D3337" s="36" t="s">
        <v>75</v>
      </c>
      <c r="E3337" s="26">
        <v>0.05</v>
      </c>
      <c r="F3337" s="27" t="s">
        <v>17</v>
      </c>
      <c r="G3337" s="46">
        <v>2.1755</v>
      </c>
      <c r="H3337" s="27" t="s">
        <v>475</v>
      </c>
      <c r="I3337" s="46">
        <f>IF(ISNUMBER(G3337),E3337*G3337,"")</f>
        <v>0.10877500000000001</v>
      </c>
      <c r="J3337" s="69"/>
      <c r="K3337" s="70"/>
      <c r="L3337" s="174">
        <v>0</v>
      </c>
    </row>
    <row r="3338" spans="1:12" ht="15.75" hidden="1" thickBot="1" x14ac:dyDescent="0.3">
      <c r="A3338" s="187"/>
      <c r="B3338" s="183"/>
      <c r="C3338" s="25"/>
      <c r="D3338" s="25"/>
      <c r="E3338" s="26"/>
      <c r="F3338" s="27"/>
      <c r="G3338" s="46" t="s">
        <v>1079</v>
      </c>
      <c r="H3338" s="27"/>
      <c r="I3338" s="46" t="str">
        <f>IF(ISNUMBER(G3338),E3338*G3338,"")</f>
        <v/>
      </c>
      <c r="J3338" s="69"/>
      <c r="K3338" s="70"/>
      <c r="L3338" s="174">
        <v>0</v>
      </c>
    </row>
    <row r="3339" spans="1:12" ht="15.75" hidden="1" thickBot="1" x14ac:dyDescent="0.3">
      <c r="A3339" s="180" t="s">
        <v>1892</v>
      </c>
      <c r="B3339" s="178" t="str">
        <f>INDEX(Orçamentária!A:B,MATCH(Composições!A3339,Orçamentária!A:A,0),2)</f>
        <v>Rejuntamento de placas de rocha ornamental em fachada</v>
      </c>
      <c r="C3339" s="30"/>
      <c r="D3339" s="13" t="str">
        <f>TRIM(INDEX(Orçamentária!C:C,MATCH(Composições!A3339,Orçamentária!A:A,0),1))</f>
        <v>m2</v>
      </c>
      <c r="E3339" s="14"/>
      <c r="F3339" s="15" t="s">
        <v>1893</v>
      </c>
      <c r="G3339" s="40" t="s">
        <v>1079</v>
      </c>
      <c r="H3339" s="16"/>
      <c r="I3339" s="16" t="str">
        <f>IF(ISNUMBER(G3339),E3339*G3339,"")</f>
        <v/>
      </c>
      <c r="J3339" s="17"/>
      <c r="K3339" s="18"/>
      <c r="L3339" s="174">
        <v>0</v>
      </c>
    </row>
    <row r="3340" spans="1:12" ht="15.75" hidden="1" thickBot="1" x14ac:dyDescent="0.3">
      <c r="A3340" s="186"/>
      <c r="B3340" s="179"/>
      <c r="C3340" s="20"/>
      <c r="D3340" s="20"/>
      <c r="E3340" s="21"/>
      <c r="F3340" s="22"/>
      <c r="G3340" s="46" t="s">
        <v>1079</v>
      </c>
      <c r="H3340" s="20"/>
      <c r="I3340" s="46" t="str">
        <f>IF(ISNUMBER(G3340),E3340*G3340,"")</f>
        <v/>
      </c>
      <c r="J3340" s="69"/>
      <c r="K3340" s="70"/>
      <c r="L3340" s="174">
        <v>0</v>
      </c>
    </row>
    <row r="3341" spans="1:12" ht="15.75" hidden="1" thickBot="1" x14ac:dyDescent="0.3">
      <c r="A3341" s="186"/>
      <c r="B3341" s="179"/>
      <c r="C3341" s="25" t="s">
        <v>38</v>
      </c>
      <c r="D3341" s="25" t="s">
        <v>21</v>
      </c>
      <c r="E3341" s="26">
        <v>0.25</v>
      </c>
      <c r="F3341" s="27" t="s">
        <v>1894</v>
      </c>
      <c r="G3341" s="46">
        <v>14.325999999999999</v>
      </c>
      <c r="H3341" s="27" t="s">
        <v>39</v>
      </c>
      <c r="I3341" s="46">
        <f>IF(ISNUMBER(G3341),E3341*G3341,"")</f>
        <v>3.5814999999999997</v>
      </c>
      <c r="J3341" s="28">
        <f>SUM(I3341:I3342)</f>
        <v>4.7323395000000001</v>
      </c>
      <c r="K3341" s="29"/>
      <c r="L3341" s="174">
        <v>0</v>
      </c>
    </row>
    <row r="3342" spans="1:12" ht="15.75" hidden="1" thickBot="1" x14ac:dyDescent="0.3">
      <c r="A3342" s="186"/>
      <c r="B3342" s="179"/>
      <c r="C3342" s="25" t="s">
        <v>474</v>
      </c>
      <c r="D3342" s="36" t="s">
        <v>75</v>
      </c>
      <c r="E3342" s="26">
        <v>0.52900000000000003</v>
      </c>
      <c r="F3342" s="27" t="s">
        <v>1894</v>
      </c>
      <c r="G3342" s="46">
        <v>2.1755</v>
      </c>
      <c r="H3342" s="27" t="s">
        <v>475</v>
      </c>
      <c r="I3342" s="46">
        <f>IF(ISNUMBER(G3342),E3342*G3342,"")</f>
        <v>1.1508395</v>
      </c>
      <c r="J3342" s="69"/>
      <c r="K3342" s="70"/>
      <c r="L3342" s="174">
        <v>0</v>
      </c>
    </row>
    <row r="3343" spans="1:12" ht="15.75" hidden="1" thickBot="1" x14ac:dyDescent="0.3">
      <c r="A3343" s="187"/>
      <c r="B3343" s="183"/>
      <c r="C3343" s="25"/>
      <c r="D3343" s="25"/>
      <c r="E3343" s="26"/>
      <c r="F3343" s="27"/>
      <c r="G3343" s="46" t="s">
        <v>1079</v>
      </c>
      <c r="H3343" s="27"/>
      <c r="I3343" s="46" t="str">
        <f>IF(ISNUMBER(G3343),E3343*G3343,"")</f>
        <v/>
      </c>
      <c r="J3343" s="69"/>
      <c r="K3343" s="70"/>
      <c r="L3343" s="174">
        <v>0</v>
      </c>
    </row>
    <row r="3344" spans="1:12" ht="15.75" hidden="1" thickBot="1" x14ac:dyDescent="0.3">
      <c r="A3344" s="180" t="s">
        <v>1895</v>
      </c>
      <c r="B3344" s="178" t="str">
        <f>INDEX(Orçamentária!A:B,MATCH(Composições!A3344,Orçamentária!A:A,0),2)</f>
        <v>Junta de movimentação em fachada</v>
      </c>
      <c r="C3344" s="30"/>
      <c r="D3344" s="13" t="str">
        <f>TRIM(INDEX(Orçamentária!C:C,MATCH(Composições!A3344,Orçamentária!A:A,0),1))</f>
        <v>m</v>
      </c>
      <c r="E3344" s="14"/>
      <c r="F3344" s="15" t="s">
        <v>1896</v>
      </c>
      <c r="G3344" s="40" t="s">
        <v>1079</v>
      </c>
      <c r="H3344" s="16"/>
      <c r="I3344" s="16" t="str">
        <f>IF(ISNUMBER(G3344),E3344*G3344,"")</f>
        <v/>
      </c>
      <c r="J3344" s="17"/>
      <c r="K3344" s="18"/>
      <c r="L3344" s="174">
        <v>0</v>
      </c>
    </row>
    <row r="3345" spans="1:12" ht="15.75" hidden="1" thickBot="1" x14ac:dyDescent="0.3">
      <c r="A3345" s="186"/>
      <c r="B3345" s="179"/>
      <c r="C3345" s="20"/>
      <c r="D3345" s="20"/>
      <c r="E3345" s="21"/>
      <c r="F3345" s="22"/>
      <c r="G3345" s="46" t="s">
        <v>1079</v>
      </c>
      <c r="H3345" s="20"/>
      <c r="I3345" s="46" t="str">
        <f>IF(ISNUMBER(G3345),E3345*G3345,"")</f>
        <v/>
      </c>
      <c r="J3345" s="69"/>
      <c r="K3345" s="70"/>
      <c r="L3345" s="174">
        <v>0</v>
      </c>
    </row>
    <row r="3346" spans="1:12" ht="15.75" hidden="1" thickBot="1" x14ac:dyDescent="0.3">
      <c r="A3346" s="186"/>
      <c r="B3346" s="179"/>
      <c r="C3346" s="25" t="s">
        <v>36</v>
      </c>
      <c r="D3346" s="25" t="s">
        <v>21</v>
      </c>
      <c r="E3346" s="26">
        <v>0.33</v>
      </c>
      <c r="F3346" s="27" t="s">
        <v>1897</v>
      </c>
      <c r="G3346" s="46">
        <v>19.142499999999998</v>
      </c>
      <c r="H3346" s="27" t="s">
        <v>37</v>
      </c>
      <c r="I3346" s="46">
        <f>IF(ISNUMBER(G3346),E3346*G3346,"")</f>
        <v>6.3170250000000001</v>
      </c>
      <c r="J3346" s="28">
        <f>SUM(I3346:I3350)</f>
        <v>18.263078350000001</v>
      </c>
      <c r="K3346" s="29"/>
      <c r="L3346" s="174">
        <v>0</v>
      </c>
    </row>
    <row r="3347" spans="1:12" ht="15.75" hidden="1" thickBot="1" x14ac:dyDescent="0.3">
      <c r="A3347" s="186"/>
      <c r="B3347" s="179"/>
      <c r="C3347" s="25" t="s">
        <v>38</v>
      </c>
      <c r="D3347" s="25" t="s">
        <v>21</v>
      </c>
      <c r="E3347" s="26">
        <v>0.1</v>
      </c>
      <c r="F3347" s="27" t="s">
        <v>1897</v>
      </c>
      <c r="G3347" s="46">
        <v>14.325999999999999</v>
      </c>
      <c r="H3347" s="27" t="s">
        <v>39</v>
      </c>
      <c r="I3347" s="46">
        <f>IF(ISNUMBER(G3347),E3347*G3347,"")</f>
        <v>1.4325999999999999</v>
      </c>
      <c r="J3347" s="69"/>
      <c r="K3347" s="70"/>
      <c r="L3347" s="174">
        <v>0</v>
      </c>
    </row>
    <row r="3348" spans="1:12" ht="15.75" hidden="1" thickBot="1" x14ac:dyDescent="0.3">
      <c r="A3348" s="186"/>
      <c r="B3348" s="179"/>
      <c r="C3348" s="25" t="s">
        <v>1898</v>
      </c>
      <c r="D3348" s="41" t="s">
        <v>208</v>
      </c>
      <c r="E3348" s="26">
        <v>0.15</v>
      </c>
      <c r="F3348" s="27" t="s">
        <v>1897</v>
      </c>
      <c r="G3348" s="46">
        <v>0</v>
      </c>
      <c r="H3348" s="27" t="s">
        <v>4601</v>
      </c>
      <c r="I3348" s="46">
        <f>IF(ISNUMBER(G3348),E3348*G3348,"")</f>
        <v>0</v>
      </c>
      <c r="J3348" s="69"/>
      <c r="K3348" s="70"/>
      <c r="L3348" s="174">
        <v>0</v>
      </c>
    </row>
    <row r="3349" spans="1:12" ht="15.75" hidden="1" thickBot="1" x14ac:dyDescent="0.3">
      <c r="A3349" s="186"/>
      <c r="B3349" s="179"/>
      <c r="C3349" s="25" t="s">
        <v>1899</v>
      </c>
      <c r="D3349" s="36" t="s">
        <v>184</v>
      </c>
      <c r="E3349" s="26">
        <v>1</v>
      </c>
      <c r="F3349" s="27" t="s">
        <v>1897</v>
      </c>
      <c r="G3349" s="46">
        <v>0</v>
      </c>
      <c r="H3349" s="27" t="s">
        <v>1900</v>
      </c>
      <c r="I3349" s="46">
        <f>IF(ISNUMBER(G3349),E3349*G3349,"")</f>
        <v>0</v>
      </c>
      <c r="J3349" s="69"/>
      <c r="K3349" s="70"/>
      <c r="L3349" s="174">
        <v>0</v>
      </c>
    </row>
    <row r="3350" spans="1:12" ht="26.25" hidden="1" thickBot="1" x14ac:dyDescent="0.3">
      <c r="A3350" s="186"/>
      <c r="B3350" s="179"/>
      <c r="C3350" s="25" t="s">
        <v>1901</v>
      </c>
      <c r="D3350" s="36" t="s">
        <v>1902</v>
      </c>
      <c r="E3350" s="26">
        <f>ROUND(0.15/0.31,4)</f>
        <v>0.4839</v>
      </c>
      <c r="F3350" s="27" t="s">
        <v>1903</v>
      </c>
      <c r="G3350" s="46">
        <v>21.726500000000001</v>
      </c>
      <c r="H3350" s="27" t="s">
        <v>1904</v>
      </c>
      <c r="I3350" s="46">
        <f>IF(ISNUMBER(G3350),E3350*G3350,"")</f>
        <v>10.513453350000001</v>
      </c>
      <c r="J3350" s="69"/>
      <c r="K3350" s="70"/>
      <c r="L3350" s="174">
        <v>0</v>
      </c>
    </row>
    <row r="3351" spans="1:12" ht="15.75" hidden="1" thickBot="1" x14ac:dyDescent="0.3">
      <c r="A3351" s="187"/>
      <c r="B3351" s="183"/>
      <c r="C3351" s="25"/>
      <c r="D3351" s="25"/>
      <c r="E3351" s="26"/>
      <c r="F3351" s="27"/>
      <c r="G3351" s="46" t="s">
        <v>1079</v>
      </c>
      <c r="H3351" s="27"/>
      <c r="I3351" s="46" t="str">
        <f>IF(ISNUMBER(G3351),E3351*G3351,"")</f>
        <v/>
      </c>
      <c r="J3351" s="69"/>
      <c r="K3351" s="70"/>
      <c r="L3351" s="174">
        <v>0</v>
      </c>
    </row>
    <row r="3352" spans="1:12" ht="15.75" hidden="1" thickBot="1" x14ac:dyDescent="0.3">
      <c r="A3352" s="180" t="s">
        <v>1905</v>
      </c>
      <c r="B3352" s="178" t="str">
        <f>INDEX(Orçamentária!A:B,MATCH(Composições!A3352,Orçamentária!A:A,0),2)</f>
        <v>Adesivo Selante Poliuretano – fornecimento e aplicação</v>
      </c>
      <c r="C3352" s="30"/>
      <c r="D3352" s="13" t="str">
        <f>TRIM(INDEX(Orçamentária!C:C,MATCH(Composições!A3352,Orçamentária!A:A,0),1))</f>
        <v>m</v>
      </c>
      <c r="E3352" s="14"/>
      <c r="F3352" s="15" t="s">
        <v>1906</v>
      </c>
      <c r="G3352" s="40" t="s">
        <v>1079</v>
      </c>
      <c r="H3352" s="16"/>
      <c r="I3352" s="16" t="str">
        <f>IF(ISNUMBER(G3352),E3352*G3352,"")</f>
        <v/>
      </c>
      <c r="J3352" s="17"/>
      <c r="K3352" s="18"/>
      <c r="L3352" s="174">
        <v>0</v>
      </c>
    </row>
    <row r="3353" spans="1:12" ht="15.75" hidden="1" thickBot="1" x14ac:dyDescent="0.3">
      <c r="A3353" s="186"/>
      <c r="B3353" s="179"/>
      <c r="C3353" s="20"/>
      <c r="D3353" s="20"/>
      <c r="E3353" s="21"/>
      <c r="F3353" s="22"/>
      <c r="G3353" s="46" t="s">
        <v>1079</v>
      </c>
      <c r="H3353" s="20"/>
      <c r="I3353" s="46" t="str">
        <f>IF(ISNUMBER(G3353),E3353*G3353,"")</f>
        <v/>
      </c>
      <c r="J3353" s="69"/>
      <c r="K3353" s="70"/>
      <c r="L3353" s="174">
        <v>0</v>
      </c>
    </row>
    <row r="3354" spans="1:12" ht="15.75" hidden="1" thickBot="1" x14ac:dyDescent="0.3">
      <c r="A3354" s="186"/>
      <c r="B3354" s="179"/>
      <c r="C3354" s="25" t="s">
        <v>36</v>
      </c>
      <c r="D3354" s="25" t="s">
        <v>21</v>
      </c>
      <c r="E3354" s="26">
        <v>0.16500000000000001</v>
      </c>
      <c r="F3354" s="27" t="s">
        <v>1903</v>
      </c>
      <c r="G3354" s="46">
        <v>19.142499999999998</v>
      </c>
      <c r="H3354" s="27" t="s">
        <v>37</v>
      </c>
      <c r="I3354" s="46">
        <f>IF(ISNUMBER(G3354),E3354*G3354,"")</f>
        <v>3.1585125000000001</v>
      </c>
      <c r="J3354" s="28">
        <f>SUM(I3354:I3356)</f>
        <v>11.8303823</v>
      </c>
      <c r="K3354" s="29"/>
      <c r="L3354" s="174">
        <v>0</v>
      </c>
    </row>
    <row r="3355" spans="1:12" ht="15.75" hidden="1" thickBot="1" x14ac:dyDescent="0.3">
      <c r="A3355" s="186"/>
      <c r="B3355" s="179"/>
      <c r="C3355" s="25" t="s">
        <v>38</v>
      </c>
      <c r="D3355" s="25" t="s">
        <v>21</v>
      </c>
      <c r="E3355" s="26">
        <v>0.1</v>
      </c>
      <c r="F3355" s="27" t="s">
        <v>1903</v>
      </c>
      <c r="G3355" s="46">
        <v>14.325999999999999</v>
      </c>
      <c r="H3355" s="27" t="s">
        <v>39</v>
      </c>
      <c r="I3355" s="46">
        <f>IF(ISNUMBER(G3355),E3355*G3355,"")</f>
        <v>1.4325999999999999</v>
      </c>
      <c r="J3355" s="69"/>
      <c r="K3355" s="70"/>
      <c r="L3355" s="174">
        <v>0</v>
      </c>
    </row>
    <row r="3356" spans="1:12" ht="26.25" hidden="1" thickBot="1" x14ac:dyDescent="0.3">
      <c r="A3356" s="186"/>
      <c r="B3356" s="179"/>
      <c r="C3356" s="25" t="s">
        <v>1901</v>
      </c>
      <c r="D3356" s="36" t="s">
        <v>1902</v>
      </c>
      <c r="E3356" s="26">
        <f>ROUND(0.1033/0.31,4)</f>
        <v>0.3332</v>
      </c>
      <c r="F3356" s="27" t="s">
        <v>1903</v>
      </c>
      <c r="G3356" s="46">
        <v>21.726500000000001</v>
      </c>
      <c r="H3356" s="27" t="s">
        <v>1904</v>
      </c>
      <c r="I3356" s="46">
        <f>IF(ISNUMBER(G3356),E3356*G3356,"")</f>
        <v>7.2392698000000006</v>
      </c>
      <c r="J3356" s="69"/>
      <c r="K3356" s="70"/>
      <c r="L3356" s="174">
        <v>0</v>
      </c>
    </row>
    <row r="3357" spans="1:12" ht="15.75" hidden="1" thickBot="1" x14ac:dyDescent="0.3">
      <c r="A3357" s="187"/>
      <c r="B3357" s="183"/>
      <c r="C3357" s="25"/>
      <c r="D3357" s="25"/>
      <c r="E3357" s="26"/>
      <c r="F3357" s="27"/>
      <c r="G3357" s="46" t="s">
        <v>1079</v>
      </c>
      <c r="H3357" s="1"/>
      <c r="I3357" s="46" t="str">
        <f>IF(ISNUMBER(G3357),E3357*G3357,"")</f>
        <v/>
      </c>
      <c r="J3357" s="69"/>
      <c r="K3357" s="70"/>
      <c r="L3357" s="174">
        <v>0</v>
      </c>
    </row>
    <row r="3358" spans="1:12" ht="15.75" hidden="1" thickBot="1" x14ac:dyDescent="0.3">
      <c r="A3358" s="180" t="s">
        <v>1907</v>
      </c>
      <c r="B3358" s="178" t="str">
        <f>INDEX(Orçamentária!A:B,MATCH(Composições!A3358,Orçamentária!A:A,0),2)</f>
        <v>Chuveiro elétrico</v>
      </c>
      <c r="C3358" s="30"/>
      <c r="D3358" s="13" t="str">
        <f>TRIM(INDEX(Orçamentária!C:C,MATCH(Composições!A3358,Orçamentária!A:A,0),1))</f>
        <v>un</v>
      </c>
      <c r="E3358" s="14"/>
      <c r="F3358" s="71" t="s">
        <v>1908</v>
      </c>
      <c r="G3358" s="40" t="s">
        <v>1079</v>
      </c>
      <c r="H3358" s="16"/>
      <c r="I3358" s="16" t="str">
        <f>IF(ISNUMBER(G3358),E3358*G3358,"")</f>
        <v/>
      </c>
      <c r="J3358" s="17"/>
      <c r="K3358" s="18"/>
      <c r="L3358" s="174">
        <v>0</v>
      </c>
    </row>
    <row r="3359" spans="1:12" ht="15.75" hidden="1" thickBot="1" x14ac:dyDescent="0.3">
      <c r="A3359" s="186"/>
      <c r="B3359" s="179"/>
      <c r="C3359" s="20"/>
      <c r="D3359" s="20"/>
      <c r="E3359" s="21"/>
      <c r="F3359" s="21"/>
      <c r="G3359" s="46" t="s">
        <v>1079</v>
      </c>
      <c r="H3359" s="20"/>
      <c r="I3359" s="46" t="str">
        <f>IF(ISNUMBER(G3359),E3359*G3359,"")</f>
        <v/>
      </c>
      <c r="J3359" s="69"/>
      <c r="K3359" s="70"/>
      <c r="L3359" s="174">
        <v>0</v>
      </c>
    </row>
    <row r="3360" spans="1:12" ht="26.25" hidden="1" thickBot="1" x14ac:dyDescent="0.3">
      <c r="A3360" s="186"/>
      <c r="B3360" s="179"/>
      <c r="C3360" s="25" t="s">
        <v>1909</v>
      </c>
      <c r="D3360" s="25" t="s">
        <v>588</v>
      </c>
      <c r="E3360" s="26">
        <v>1</v>
      </c>
      <c r="F3360" s="26" t="s">
        <v>1908</v>
      </c>
      <c r="G3360" s="46">
        <v>48.801499999999997</v>
      </c>
      <c r="H3360" s="27" t="s">
        <v>1910</v>
      </c>
      <c r="I3360" s="46">
        <f>IF(ISNUMBER(G3360),E3360*G3360,"")</f>
        <v>48.801499999999997</v>
      </c>
      <c r="J3360" s="28">
        <f>SUM(I3360:I3363)</f>
        <v>59.250737149999999</v>
      </c>
      <c r="K3360" s="29"/>
      <c r="L3360" s="174">
        <v>0</v>
      </c>
    </row>
    <row r="3361" spans="1:12" ht="15.75" hidden="1" thickBot="1" x14ac:dyDescent="0.3">
      <c r="A3361" s="186"/>
      <c r="B3361" s="179"/>
      <c r="C3361" s="25" t="s">
        <v>1911</v>
      </c>
      <c r="D3361" s="25" t="s">
        <v>588</v>
      </c>
      <c r="E3361" s="26">
        <v>2.1000000000000001E-2</v>
      </c>
      <c r="F3361" s="26" t="s">
        <v>1908</v>
      </c>
      <c r="G3361" s="46">
        <v>2.8974999999999995</v>
      </c>
      <c r="H3361" s="27" t="s">
        <v>749</v>
      </c>
      <c r="I3361" s="46">
        <f>IF(ISNUMBER(G3361),E3361*G3361,"")</f>
        <v>6.0847499999999992E-2</v>
      </c>
      <c r="J3361" s="69"/>
      <c r="K3361" s="70"/>
      <c r="L3361" s="174">
        <v>0</v>
      </c>
    </row>
    <row r="3362" spans="1:12" ht="26.25" hidden="1" thickBot="1" x14ac:dyDescent="0.3">
      <c r="A3362" s="186"/>
      <c r="B3362" s="179"/>
      <c r="C3362" s="25" t="s">
        <v>1713</v>
      </c>
      <c r="D3362" s="25" t="s">
        <v>1366</v>
      </c>
      <c r="E3362" s="26">
        <v>0.44669999999999999</v>
      </c>
      <c r="F3362" s="26" t="s">
        <v>1908</v>
      </c>
      <c r="G3362" s="46">
        <v>18.743500000000001</v>
      </c>
      <c r="H3362" s="27" t="s">
        <v>71</v>
      </c>
      <c r="I3362" s="46">
        <f>IF(ISNUMBER(G3362),E3362*G3362,"")</f>
        <v>8.3727214500000002</v>
      </c>
      <c r="J3362" s="69"/>
      <c r="K3362" s="70"/>
      <c r="L3362" s="174">
        <v>0</v>
      </c>
    </row>
    <row r="3363" spans="1:12" ht="15.75" hidden="1" thickBot="1" x14ac:dyDescent="0.3">
      <c r="A3363" s="186"/>
      <c r="B3363" s="179"/>
      <c r="C3363" s="25" t="s">
        <v>1367</v>
      </c>
      <c r="D3363" s="25" t="s">
        <v>1366</v>
      </c>
      <c r="E3363" s="26">
        <v>0.14069999999999999</v>
      </c>
      <c r="F3363" s="26" t="s">
        <v>1908</v>
      </c>
      <c r="G3363" s="46">
        <v>14.325999999999999</v>
      </c>
      <c r="H3363" s="27" t="s">
        <v>39</v>
      </c>
      <c r="I3363" s="46">
        <f>IF(ISNUMBER(G3363),E3363*G3363,"")</f>
        <v>2.0156681999999999</v>
      </c>
      <c r="J3363" s="69"/>
      <c r="K3363" s="70"/>
      <c r="L3363" s="174">
        <v>0</v>
      </c>
    </row>
    <row r="3364" spans="1:12" ht="15.75" hidden="1" thickBot="1" x14ac:dyDescent="0.3">
      <c r="A3364" s="187"/>
      <c r="B3364" s="183"/>
      <c r="C3364" s="25"/>
      <c r="D3364" s="25"/>
      <c r="E3364" s="26"/>
      <c r="F3364" s="27"/>
      <c r="G3364" s="46" t="s">
        <v>1079</v>
      </c>
      <c r="H3364" s="27"/>
      <c r="I3364" s="46" t="str">
        <f>IF(ISNUMBER(G3364),E3364*G3364,"")</f>
        <v/>
      </c>
      <c r="J3364" s="69"/>
      <c r="K3364" s="70"/>
      <c r="L3364" s="174">
        <v>0</v>
      </c>
    </row>
    <row r="3365" spans="1:12" ht="15.75" hidden="1" thickBot="1" x14ac:dyDescent="0.3">
      <c r="A3365" s="180" t="s">
        <v>1912</v>
      </c>
      <c r="B3365" s="178" t="str">
        <f>INDEX(Orçamentária!A:B,MATCH(Composições!A3365,Orçamentária!A:A,0),2)</f>
        <v>Base para pavimentação com concreto magro</v>
      </c>
      <c r="C3365" s="30"/>
      <c r="D3365" s="13" t="str">
        <f>TRIM(INDEX(Orçamentária!C:C,MATCH(Composições!A3365,Orçamentária!A:A,0),1))</f>
        <v>m3</v>
      </c>
      <c r="E3365" s="14"/>
      <c r="F3365" s="15" t="s">
        <v>1913</v>
      </c>
      <c r="G3365" s="40" t="s">
        <v>1079</v>
      </c>
      <c r="H3365" s="16"/>
      <c r="I3365" s="16" t="str">
        <f>IF(ISNUMBER(G3365),E3365*G3365,"")</f>
        <v/>
      </c>
      <c r="J3365" s="17"/>
      <c r="K3365" s="18"/>
      <c r="L3365" s="174">
        <v>0</v>
      </c>
    </row>
    <row r="3366" spans="1:12" ht="15.75" hidden="1" thickBot="1" x14ac:dyDescent="0.3">
      <c r="A3366" s="186"/>
      <c r="B3366" s="179"/>
      <c r="C3366" s="20"/>
      <c r="D3366" s="20"/>
      <c r="E3366" s="21"/>
      <c r="F3366" s="22"/>
      <c r="G3366" s="46" t="s">
        <v>1079</v>
      </c>
      <c r="H3366" s="20"/>
      <c r="I3366" s="46" t="str">
        <f>IF(ISNUMBER(G3366),E3366*G3366,"")</f>
        <v/>
      </c>
      <c r="J3366" s="69"/>
      <c r="K3366" s="70"/>
      <c r="L3366" s="174">
        <v>0</v>
      </c>
    </row>
    <row r="3367" spans="1:12" ht="15.75" hidden="1" thickBot="1" x14ac:dyDescent="0.3">
      <c r="A3367" s="186"/>
      <c r="B3367" s="179"/>
      <c r="C3367" s="25" t="s">
        <v>36</v>
      </c>
      <c r="D3367" s="25" t="s">
        <v>1366</v>
      </c>
      <c r="E3367" s="26">
        <v>2</v>
      </c>
      <c r="F3367" s="27" t="s">
        <v>1914</v>
      </c>
      <c r="G3367" s="46">
        <v>19.142499999999998</v>
      </c>
      <c r="H3367" s="27" t="s">
        <v>37</v>
      </c>
      <c r="I3367" s="46">
        <f>IF(ISNUMBER(G3367),E3367*G3367,"")</f>
        <v>38.284999999999997</v>
      </c>
      <c r="J3367" s="28">
        <f>SUM(I3367:I3369)</f>
        <v>402.21298759000001</v>
      </c>
      <c r="K3367" s="29"/>
      <c r="L3367" s="174">
        <v>0</v>
      </c>
    </row>
    <row r="3368" spans="1:12" ht="15.75" hidden="1" thickBot="1" x14ac:dyDescent="0.3">
      <c r="A3368" s="186"/>
      <c r="B3368" s="179"/>
      <c r="C3368" s="25" t="s">
        <v>38</v>
      </c>
      <c r="D3368" s="25" t="s">
        <v>1366</v>
      </c>
      <c r="E3368" s="26">
        <v>6</v>
      </c>
      <c r="F3368" s="27" t="s">
        <v>1914</v>
      </c>
      <c r="G3368" s="46">
        <v>14.325999999999999</v>
      </c>
      <c r="H3368" s="27" t="s">
        <v>39</v>
      </c>
      <c r="I3368" s="46">
        <f>IF(ISNUMBER(G3368),E3368*G3368,"")</f>
        <v>85.955999999999989</v>
      </c>
      <c r="J3368" s="69"/>
      <c r="K3368" s="70"/>
      <c r="L3368" s="174">
        <v>0</v>
      </c>
    </row>
    <row r="3369" spans="1:12" ht="39" hidden="1" thickBot="1" x14ac:dyDescent="0.3">
      <c r="A3369" s="186"/>
      <c r="B3369" s="179"/>
      <c r="C3369" s="25" t="s">
        <v>1915</v>
      </c>
      <c r="D3369" s="36" t="s">
        <v>252</v>
      </c>
      <c r="E3369" s="26">
        <v>1</v>
      </c>
      <c r="F3369" s="27" t="s">
        <v>1914</v>
      </c>
      <c r="G3369" s="46">
        <v>277.97198759000003</v>
      </c>
      <c r="H3369" s="27" t="s">
        <v>1916</v>
      </c>
      <c r="I3369" s="46">
        <f>IF(ISNUMBER(G3369),E3369*G3369,"")</f>
        <v>277.97198759000003</v>
      </c>
      <c r="J3369" s="69"/>
      <c r="K3369" s="70"/>
      <c r="L3369" s="174">
        <v>0</v>
      </c>
    </row>
    <row r="3370" spans="1:12" ht="15.75" hidden="1" thickBot="1" x14ac:dyDescent="0.3">
      <c r="A3370" s="187"/>
      <c r="B3370" s="183"/>
      <c r="C3370" s="25"/>
      <c r="D3370" s="25"/>
      <c r="E3370" s="26"/>
      <c r="F3370" s="27"/>
      <c r="G3370" s="46" t="s">
        <v>1079</v>
      </c>
      <c r="H3370" s="27"/>
      <c r="I3370" s="46" t="str">
        <f>IF(ISNUMBER(G3370),E3370*G3370,"")</f>
        <v/>
      </c>
      <c r="J3370" s="69"/>
      <c r="K3370" s="70"/>
      <c r="L3370" s="174">
        <v>0</v>
      </c>
    </row>
    <row r="3371" spans="1:12" ht="15.75" hidden="1" thickBot="1" x14ac:dyDescent="0.3">
      <c r="A3371" s="180" t="s">
        <v>1917</v>
      </c>
      <c r="B3371" s="178" t="str">
        <f>INDEX(Orçamentária!A:B,MATCH(Composições!A3371,Orçamentária!A:A,0),2)</f>
        <v>Pavimentação em concreto armado simples</v>
      </c>
      <c r="C3371" s="30"/>
      <c r="D3371" s="13" t="str">
        <f>TRIM(INDEX(Orçamentária!C:C,MATCH(Composições!A3371,Orçamentária!A:A,0),1))</f>
        <v>m2</v>
      </c>
      <c r="E3371" s="14"/>
      <c r="F3371" s="15" t="s">
        <v>1918</v>
      </c>
      <c r="G3371" s="40" t="s">
        <v>1079</v>
      </c>
      <c r="H3371" s="16"/>
      <c r="I3371" s="16" t="str">
        <f>IF(ISNUMBER(G3371),E3371*G3371,"")</f>
        <v/>
      </c>
      <c r="J3371" s="17"/>
      <c r="K3371" s="18"/>
      <c r="L3371" s="174">
        <v>0</v>
      </c>
    </row>
    <row r="3372" spans="1:12" ht="15.75" hidden="1" thickBot="1" x14ac:dyDescent="0.3">
      <c r="A3372" s="181"/>
      <c r="B3372" s="179"/>
      <c r="C3372" s="20"/>
      <c r="D3372" s="20"/>
      <c r="E3372" s="21"/>
      <c r="F3372" s="22"/>
      <c r="G3372" s="46" t="s">
        <v>1079</v>
      </c>
      <c r="H3372" s="20"/>
      <c r="I3372" s="46" t="str">
        <f>IF(ISNUMBER(G3372),E3372*G3372,"")</f>
        <v/>
      </c>
      <c r="J3372" s="69"/>
      <c r="K3372" s="70"/>
      <c r="L3372" s="174">
        <v>0</v>
      </c>
    </row>
    <row r="3373" spans="1:12" ht="39" hidden="1" thickBot="1" x14ac:dyDescent="0.3">
      <c r="A3373" s="181"/>
      <c r="B3373" s="179"/>
      <c r="C3373" s="25" t="s">
        <v>1919</v>
      </c>
      <c r="D3373" s="25" t="s">
        <v>1795</v>
      </c>
      <c r="E3373" s="26">
        <v>1.05</v>
      </c>
      <c r="F3373" s="27" t="s">
        <v>1920</v>
      </c>
      <c r="G3373" s="46">
        <v>19.0855</v>
      </c>
      <c r="H3373" s="27" t="s">
        <v>1921</v>
      </c>
      <c r="I3373" s="46">
        <f>IF(ISNUMBER(G3373),E3373*G3373,"")</f>
        <v>20.039774999999999</v>
      </c>
      <c r="J3373" s="28">
        <f>SUM(I3373:I3378)</f>
        <v>77.312906718399987</v>
      </c>
      <c r="K3373" s="29"/>
      <c r="L3373" s="174">
        <v>0</v>
      </c>
    </row>
    <row r="3374" spans="1:12" ht="15.75" hidden="1" thickBot="1" x14ac:dyDescent="0.3">
      <c r="A3374" s="181"/>
      <c r="B3374" s="179"/>
      <c r="C3374" s="25" t="s">
        <v>1634</v>
      </c>
      <c r="D3374" s="25" t="s">
        <v>1366</v>
      </c>
      <c r="E3374" s="26">
        <v>0.02</v>
      </c>
      <c r="F3374" s="27" t="s">
        <v>1920</v>
      </c>
      <c r="G3374" s="46">
        <v>19.056999999999999</v>
      </c>
      <c r="H3374" s="27" t="s">
        <v>1635</v>
      </c>
      <c r="I3374" s="46">
        <f>IF(ISNUMBER(G3374),E3374*G3374,"")</f>
        <v>0.38113999999999998</v>
      </c>
      <c r="J3374" s="69"/>
      <c r="K3374" s="70"/>
      <c r="L3374" s="174">
        <v>0</v>
      </c>
    </row>
    <row r="3375" spans="1:12" ht="15.75" hidden="1" thickBot="1" x14ac:dyDescent="0.3">
      <c r="A3375" s="181"/>
      <c r="B3375" s="179"/>
      <c r="C3375" s="25" t="s">
        <v>36</v>
      </c>
      <c r="D3375" s="25" t="s">
        <v>1366</v>
      </c>
      <c r="E3375" s="26">
        <v>0.26</v>
      </c>
      <c r="F3375" s="27" t="s">
        <v>1920</v>
      </c>
      <c r="G3375" s="46">
        <v>19.142499999999998</v>
      </c>
      <c r="H3375" s="27" t="s">
        <v>37</v>
      </c>
      <c r="I3375" s="46">
        <f>IF(ISNUMBER(G3375),E3375*G3375,"")</f>
        <v>4.9770499999999993</v>
      </c>
      <c r="J3375" s="69"/>
      <c r="K3375" s="70"/>
      <c r="L3375" s="174">
        <v>0</v>
      </c>
    </row>
    <row r="3376" spans="1:12" ht="15.75" hidden="1" thickBot="1" x14ac:dyDescent="0.3">
      <c r="A3376" s="181"/>
      <c r="B3376" s="179"/>
      <c r="C3376" s="25" t="s">
        <v>38</v>
      </c>
      <c r="D3376" s="36" t="s">
        <v>1366</v>
      </c>
      <c r="E3376" s="26">
        <v>1.94</v>
      </c>
      <c r="F3376" s="27" t="s">
        <v>1920</v>
      </c>
      <c r="G3376" s="46">
        <v>14.325999999999999</v>
      </c>
      <c r="H3376" s="27" t="s">
        <v>39</v>
      </c>
      <c r="I3376" s="46">
        <f>IF(ISNUMBER(G3376),E3376*G3376,"")</f>
        <v>27.792439999999996</v>
      </c>
      <c r="J3376" s="69"/>
      <c r="K3376" s="70"/>
      <c r="L3376" s="174">
        <v>0</v>
      </c>
    </row>
    <row r="3377" spans="1:12" ht="26.25" hidden="1" thickBot="1" x14ac:dyDescent="0.3">
      <c r="A3377" s="181"/>
      <c r="B3377" s="179"/>
      <c r="C3377" s="25" t="s">
        <v>1922</v>
      </c>
      <c r="D3377" s="36" t="s">
        <v>252</v>
      </c>
      <c r="E3377" s="26">
        <v>7.0000000000000007E-2</v>
      </c>
      <c r="F3377" s="27" t="s">
        <v>1920</v>
      </c>
      <c r="G3377" s="46">
        <v>310.99316811999995</v>
      </c>
      <c r="H3377" s="27" t="s">
        <v>1923</v>
      </c>
      <c r="I3377" s="46">
        <f>IF(ISNUMBER(G3377),E3377*G3377,"")</f>
        <v>21.769521768399997</v>
      </c>
      <c r="J3377" s="69"/>
      <c r="K3377" s="70"/>
      <c r="L3377" s="174">
        <v>0</v>
      </c>
    </row>
    <row r="3378" spans="1:12" ht="26.25" hidden="1" thickBot="1" x14ac:dyDescent="0.3">
      <c r="A3378" s="181"/>
      <c r="B3378" s="179"/>
      <c r="C3378" s="25" t="s">
        <v>1901</v>
      </c>
      <c r="D3378" s="36" t="s">
        <v>1924</v>
      </c>
      <c r="E3378" s="26">
        <v>0.10829999999999999</v>
      </c>
      <c r="F3378" s="27" t="s">
        <v>1925</v>
      </c>
      <c r="G3378" s="46">
        <v>21.726500000000001</v>
      </c>
      <c r="H3378" s="27" t="s">
        <v>1904</v>
      </c>
      <c r="I3378" s="46">
        <f>IF(ISNUMBER(G3378),E3378*G3378,"")</f>
        <v>2.3529799499999999</v>
      </c>
      <c r="J3378" s="69"/>
      <c r="K3378" s="70"/>
      <c r="L3378" s="174">
        <v>0</v>
      </c>
    </row>
    <row r="3379" spans="1:12" ht="15.75" hidden="1" thickBot="1" x14ac:dyDescent="0.3">
      <c r="A3379" s="182"/>
      <c r="B3379" s="183"/>
      <c r="C3379" s="25"/>
      <c r="D3379" s="25"/>
      <c r="E3379" s="26"/>
      <c r="F3379" s="27"/>
      <c r="G3379" s="46" t="s">
        <v>1079</v>
      </c>
      <c r="H3379" s="27"/>
      <c r="I3379" s="46" t="str">
        <f>IF(ISNUMBER(G3379),E3379*G3379,"")</f>
        <v/>
      </c>
      <c r="J3379" s="69"/>
      <c r="K3379" s="70"/>
      <c r="L3379" s="174">
        <v>0</v>
      </c>
    </row>
    <row r="3380" spans="1:12" ht="15.75" hidden="1" thickBot="1" x14ac:dyDescent="0.3">
      <c r="A3380" s="180" t="s">
        <v>1926</v>
      </c>
      <c r="B3380" s="178" t="str">
        <f>INDEX(Orçamentária!A:B,MATCH(Composições!A3380,Orçamentária!A:A,0),2)</f>
        <v>Remoção de reservatório d’água</v>
      </c>
      <c r="C3380" s="30"/>
      <c r="D3380" s="13" t="str">
        <f>TRIM(INDEX(Orçamentária!C:C,MATCH(Composições!A3380,Orçamentária!A:A,0),1))</f>
        <v>un</v>
      </c>
      <c r="E3380" s="14"/>
      <c r="F3380" s="71" t="s">
        <v>1927</v>
      </c>
      <c r="G3380" s="40" t="s">
        <v>1079</v>
      </c>
      <c r="H3380" s="16"/>
      <c r="I3380" s="16" t="str">
        <f>IF(ISNUMBER(G3380),E3380*G3380,"")</f>
        <v/>
      </c>
      <c r="J3380" s="17"/>
      <c r="K3380" s="18"/>
      <c r="L3380" s="174">
        <v>0</v>
      </c>
    </row>
    <row r="3381" spans="1:12" ht="15.75" hidden="1" thickBot="1" x14ac:dyDescent="0.3">
      <c r="A3381" s="186"/>
      <c r="B3381" s="179"/>
      <c r="C3381" s="20"/>
      <c r="D3381" s="20"/>
      <c r="E3381" s="21"/>
      <c r="F3381" s="22"/>
      <c r="G3381" s="46" t="s">
        <v>1079</v>
      </c>
      <c r="H3381" s="20"/>
      <c r="I3381" s="46" t="str">
        <f>IF(ISNUMBER(G3381),E3381*G3381,"")</f>
        <v/>
      </c>
      <c r="J3381" s="69"/>
      <c r="K3381" s="70"/>
      <c r="L3381" s="174">
        <v>0</v>
      </c>
    </row>
    <row r="3382" spans="1:12" ht="15.75" hidden="1" thickBot="1" x14ac:dyDescent="0.3">
      <c r="A3382" s="186"/>
      <c r="B3382" s="179"/>
      <c r="C3382" s="25" t="s">
        <v>70</v>
      </c>
      <c r="D3382" s="41" t="s">
        <v>21</v>
      </c>
      <c r="E3382" s="26">
        <v>4</v>
      </c>
      <c r="F3382" s="26" t="s">
        <v>1928</v>
      </c>
      <c r="G3382" s="46">
        <v>18.743500000000001</v>
      </c>
      <c r="H3382" s="27" t="s">
        <v>71</v>
      </c>
      <c r="I3382" s="46">
        <f>IF(ISNUMBER(G3382),E3382*G3382,"")</f>
        <v>74.974000000000004</v>
      </c>
      <c r="J3382" s="28">
        <f>SUM(I3382:I3383)</f>
        <v>132.27799999999999</v>
      </c>
      <c r="K3382" s="29"/>
      <c r="L3382" s="174">
        <v>0</v>
      </c>
    </row>
    <row r="3383" spans="1:12" ht="15.75" hidden="1" thickBot="1" x14ac:dyDescent="0.3">
      <c r="A3383" s="186"/>
      <c r="B3383" s="179"/>
      <c r="C3383" s="25" t="s">
        <v>38</v>
      </c>
      <c r="D3383" s="25" t="s">
        <v>21</v>
      </c>
      <c r="E3383" s="26">
        <v>4</v>
      </c>
      <c r="F3383" s="26" t="s">
        <v>1928</v>
      </c>
      <c r="G3383" s="46">
        <v>14.325999999999999</v>
      </c>
      <c r="H3383" s="27" t="s">
        <v>39</v>
      </c>
      <c r="I3383" s="46">
        <f>IF(ISNUMBER(G3383),E3383*G3383,"")</f>
        <v>57.303999999999995</v>
      </c>
      <c r="J3383" s="69"/>
      <c r="K3383" s="70"/>
      <c r="L3383" s="174">
        <v>0</v>
      </c>
    </row>
    <row r="3384" spans="1:12" ht="15.75" hidden="1" thickBot="1" x14ac:dyDescent="0.3">
      <c r="A3384" s="187"/>
      <c r="B3384" s="183"/>
      <c r="C3384" s="25"/>
      <c r="D3384" s="25"/>
      <c r="E3384" s="26"/>
      <c r="F3384" s="27"/>
      <c r="G3384" s="46" t="s">
        <v>1079</v>
      </c>
      <c r="H3384" s="27"/>
      <c r="I3384" s="46" t="str">
        <f>IF(ISNUMBER(G3384),E3384*G3384,"")</f>
        <v/>
      </c>
      <c r="J3384" s="69"/>
      <c r="K3384" s="70"/>
      <c r="L3384" s="174">
        <v>0</v>
      </c>
    </row>
    <row r="3385" spans="1:12" ht="15.75" hidden="1" thickBot="1" x14ac:dyDescent="0.3">
      <c r="A3385" s="180" t="s">
        <v>1929</v>
      </c>
      <c r="B3385" s="178" t="str">
        <f>INDEX(Orçamentária!A:B,MATCH(Composições!A3385,Orçamentária!A:A,0),2)</f>
        <v>Transporte e destinação final de entulho para distâncias até 30 km</v>
      </c>
      <c r="C3385" s="30"/>
      <c r="D3385" s="13" t="str">
        <f>TRIM(INDEX(Orçamentária!C:C,MATCH(Composições!A3385,Orçamentária!A:A,0),1))</f>
        <v>m3 x km</v>
      </c>
      <c r="E3385" s="14"/>
      <c r="F3385" s="15" t="s">
        <v>256</v>
      </c>
      <c r="G3385" s="40" t="s">
        <v>1079</v>
      </c>
      <c r="H3385" s="16"/>
      <c r="I3385" s="16" t="str">
        <f>IF(ISNUMBER(G3385),E3385*G3385,"")</f>
        <v/>
      </c>
      <c r="J3385" s="17"/>
      <c r="K3385" s="18"/>
      <c r="L3385" s="174">
        <v>0</v>
      </c>
    </row>
    <row r="3386" spans="1:12" ht="15.75" hidden="1" thickBot="1" x14ac:dyDescent="0.3">
      <c r="A3386" s="186"/>
      <c r="B3386" s="179"/>
      <c r="C3386" s="20"/>
      <c r="D3386" s="20"/>
      <c r="E3386" s="21"/>
      <c r="F3386" s="22"/>
      <c r="G3386" s="46" t="s">
        <v>1079</v>
      </c>
      <c r="H3386" s="20"/>
      <c r="I3386" s="46" t="str">
        <f>IF(ISNUMBER(G3386),E3386*G3386,"")</f>
        <v/>
      </c>
      <c r="J3386" s="69"/>
      <c r="K3386" s="70"/>
      <c r="L3386" s="174">
        <v>0</v>
      </c>
    </row>
    <row r="3387" spans="1:12" ht="51.75" hidden="1" thickBot="1" x14ac:dyDescent="0.3">
      <c r="A3387" s="186"/>
      <c r="B3387" s="179"/>
      <c r="C3387" s="25" t="s">
        <v>1930</v>
      </c>
      <c r="D3387" s="25" t="s">
        <v>1691</v>
      </c>
      <c r="E3387" s="26">
        <v>1.04E-2</v>
      </c>
      <c r="F3387" s="27" t="s">
        <v>256</v>
      </c>
      <c r="G3387" s="46">
        <v>92.064499999999995</v>
      </c>
      <c r="H3387" s="27" t="s">
        <v>1931</v>
      </c>
      <c r="I3387" s="46">
        <f>IF(ISNUMBER(G3387),E3387*G3387,"")</f>
        <v>0.95747079999999996</v>
      </c>
      <c r="J3387" s="28">
        <f>SUM(I3387:I3388)</f>
        <v>1.0354733999999999</v>
      </c>
      <c r="K3387" s="29"/>
      <c r="L3387" s="174">
        <v>0</v>
      </c>
    </row>
    <row r="3388" spans="1:12" ht="51.75" hidden="1" thickBot="1" x14ac:dyDescent="0.3">
      <c r="A3388" s="186"/>
      <c r="B3388" s="179"/>
      <c r="C3388" s="25" t="s">
        <v>1932</v>
      </c>
      <c r="D3388" s="25" t="s">
        <v>1694</v>
      </c>
      <c r="E3388" s="26">
        <v>2.5999999999999999E-3</v>
      </c>
      <c r="F3388" s="27" t="s">
        <v>256</v>
      </c>
      <c r="G3388" s="46">
        <v>30.000999999999998</v>
      </c>
      <c r="H3388" s="27" t="s">
        <v>1933</v>
      </c>
      <c r="I3388" s="46">
        <f>IF(ISNUMBER(G3388),E3388*G3388,"")</f>
        <v>7.8002599999999991E-2</v>
      </c>
      <c r="J3388" s="69"/>
      <c r="K3388" s="70"/>
      <c r="L3388" s="174">
        <v>0</v>
      </c>
    </row>
    <row r="3389" spans="1:12" ht="15.75" hidden="1" thickBot="1" x14ac:dyDescent="0.3">
      <c r="A3389" s="187"/>
      <c r="B3389" s="183"/>
      <c r="C3389" s="25"/>
      <c r="D3389" s="25"/>
      <c r="E3389" s="26"/>
      <c r="F3389" s="27"/>
      <c r="G3389" s="46" t="s">
        <v>1079</v>
      </c>
      <c r="H3389" s="27"/>
      <c r="I3389" s="46" t="str">
        <f>IF(ISNUMBER(G3389),E3389*G3389,"")</f>
        <v/>
      </c>
      <c r="J3389" s="69"/>
      <c r="K3389" s="70"/>
      <c r="L3389" s="174">
        <v>0</v>
      </c>
    </row>
    <row r="3390" spans="1:12" ht="15.75" hidden="1" thickBot="1" x14ac:dyDescent="0.3">
      <c r="A3390" s="180" t="s">
        <v>1934</v>
      </c>
      <c r="B3390" s="178" t="str">
        <f>INDEX(Orçamentária!A:B,MATCH(Composições!A3390,Orçamentária!A:A,0),2)</f>
        <v>Demolição de estrutura metálica</v>
      </c>
      <c r="C3390" s="30"/>
      <c r="D3390" s="13" t="str">
        <f>TRIM(INDEX(Orçamentária!C:C,MATCH(Composições!A3390,Orçamentária!A:A,0),1))</f>
        <v>kg</v>
      </c>
      <c r="E3390" s="14"/>
      <c r="F3390" s="71" t="s">
        <v>1935</v>
      </c>
      <c r="G3390" s="40" t="s">
        <v>1079</v>
      </c>
      <c r="H3390" s="16"/>
      <c r="I3390" s="16" t="str">
        <f>IF(ISNUMBER(G3390),E3390*G3390,"")</f>
        <v/>
      </c>
      <c r="J3390" s="17"/>
      <c r="K3390" s="18"/>
      <c r="L3390" s="174">
        <v>0</v>
      </c>
    </row>
    <row r="3391" spans="1:12" ht="15.75" hidden="1" thickBot="1" x14ac:dyDescent="0.3">
      <c r="A3391" s="186"/>
      <c r="B3391" s="179"/>
      <c r="C3391" s="20"/>
      <c r="D3391" s="20"/>
      <c r="E3391" s="21"/>
      <c r="F3391" s="21"/>
      <c r="G3391" s="46" t="s">
        <v>1079</v>
      </c>
      <c r="H3391" s="20"/>
      <c r="I3391" s="46" t="str">
        <f>IF(ISNUMBER(G3391),E3391*G3391,"")</f>
        <v/>
      </c>
      <c r="J3391" s="69"/>
      <c r="K3391" s="70"/>
      <c r="L3391" s="174">
        <v>0</v>
      </c>
    </row>
    <row r="3392" spans="1:12" ht="26.25" hidden="1" thickBot="1" x14ac:dyDescent="0.3">
      <c r="A3392" s="186"/>
      <c r="B3392" s="179"/>
      <c r="C3392" s="25" t="s">
        <v>279</v>
      </c>
      <c r="D3392" s="25" t="s">
        <v>228</v>
      </c>
      <c r="E3392" s="26">
        <v>2.1999999999999999E-2</v>
      </c>
      <c r="F3392" s="26" t="s">
        <v>1936</v>
      </c>
      <c r="G3392" s="46">
        <v>8.3219999999999992</v>
      </c>
      <c r="H3392" s="27" t="s">
        <v>280</v>
      </c>
      <c r="I3392" s="46">
        <f>IF(ISNUMBER(G3392),E3392*G3392,"")</f>
        <v>0.18308399999999997</v>
      </c>
      <c r="J3392" s="28">
        <f>SUM(I3392:I3396)</f>
        <v>2.553372</v>
      </c>
      <c r="K3392" s="29"/>
      <c r="L3392" s="174">
        <v>0</v>
      </c>
    </row>
    <row r="3393" spans="1:12" ht="26.25" hidden="1" thickBot="1" x14ac:dyDescent="0.3">
      <c r="A3393" s="186"/>
      <c r="B3393" s="179"/>
      <c r="C3393" s="25" t="s">
        <v>271</v>
      </c>
      <c r="D3393" s="25" t="s">
        <v>75</v>
      </c>
      <c r="E3393" s="26">
        <v>5.0000000000000001E-3</v>
      </c>
      <c r="F3393" s="26" t="s">
        <v>1936</v>
      </c>
      <c r="G3393" s="46">
        <v>38</v>
      </c>
      <c r="H3393" s="27" t="s">
        <v>273</v>
      </c>
      <c r="I3393" s="46">
        <f>IF(ISNUMBER(G3393),E3393*G3393,"")</f>
        <v>0.19</v>
      </c>
      <c r="J3393" s="69"/>
      <c r="K3393" s="70"/>
      <c r="L3393" s="174">
        <v>0</v>
      </c>
    </row>
    <row r="3394" spans="1:12" ht="26.25" hidden="1" thickBot="1" x14ac:dyDescent="0.3">
      <c r="A3394" s="186"/>
      <c r="B3394" s="179"/>
      <c r="C3394" s="25" t="s">
        <v>1937</v>
      </c>
      <c r="D3394" s="25" t="s">
        <v>1691</v>
      </c>
      <c r="E3394" s="26">
        <f>E3395</f>
        <v>4.3999999999999997E-2</v>
      </c>
      <c r="F3394" s="26" t="s">
        <v>17</v>
      </c>
      <c r="G3394" s="46">
        <v>15.466000000000001</v>
      </c>
      <c r="H3394" s="27" t="s">
        <v>1938</v>
      </c>
      <c r="I3394" s="46">
        <f>IF(ISNUMBER(G3394),E3394*G3394,"")</f>
        <v>0.680504</v>
      </c>
      <c r="J3394" s="69"/>
      <c r="K3394" s="70"/>
      <c r="L3394" s="174">
        <v>0</v>
      </c>
    </row>
    <row r="3395" spans="1:12" ht="15.75" hidden="1" thickBot="1" x14ac:dyDescent="0.3">
      <c r="A3395" s="186"/>
      <c r="B3395" s="179"/>
      <c r="C3395" s="25" t="s">
        <v>1939</v>
      </c>
      <c r="D3395" s="25" t="s">
        <v>21</v>
      </c>
      <c r="E3395" s="26">
        <v>4.3999999999999997E-2</v>
      </c>
      <c r="F3395" s="26" t="s">
        <v>1936</v>
      </c>
      <c r="G3395" s="46">
        <v>19.759999999999998</v>
      </c>
      <c r="H3395" s="27" t="s">
        <v>1940</v>
      </c>
      <c r="I3395" s="46">
        <f>IF(ISNUMBER(G3395),E3395*G3395,"")</f>
        <v>0.86943999999999988</v>
      </c>
      <c r="J3395" s="69"/>
      <c r="K3395" s="70"/>
      <c r="L3395" s="174">
        <v>0</v>
      </c>
    </row>
    <row r="3396" spans="1:12" ht="15.75" hidden="1" thickBot="1" x14ac:dyDescent="0.3">
      <c r="A3396" s="186"/>
      <c r="B3396" s="179"/>
      <c r="C3396" s="25" t="s">
        <v>38</v>
      </c>
      <c r="D3396" s="25" t="s">
        <v>21</v>
      </c>
      <c r="E3396" s="26">
        <v>4.3999999999999997E-2</v>
      </c>
      <c r="F3396" s="26" t="s">
        <v>1936</v>
      </c>
      <c r="G3396" s="46">
        <v>14.325999999999999</v>
      </c>
      <c r="H3396" s="27" t="s">
        <v>39</v>
      </c>
      <c r="I3396" s="46">
        <f>IF(ISNUMBER(G3396),E3396*G3396,"")</f>
        <v>0.6303439999999999</v>
      </c>
      <c r="J3396" s="69"/>
      <c r="K3396" s="70"/>
      <c r="L3396" s="174">
        <v>0</v>
      </c>
    </row>
    <row r="3397" spans="1:12" ht="15.75" hidden="1" thickBot="1" x14ac:dyDescent="0.3">
      <c r="A3397" s="187"/>
      <c r="B3397" s="183"/>
      <c r="C3397" s="25"/>
      <c r="D3397" s="25"/>
      <c r="E3397" s="26"/>
      <c r="F3397" s="27"/>
      <c r="G3397" s="46" t="s">
        <v>1079</v>
      </c>
      <c r="H3397" s="27"/>
      <c r="I3397" s="46" t="str">
        <f>IF(ISNUMBER(G3397),E3397*G3397,"")</f>
        <v/>
      </c>
      <c r="J3397" s="69"/>
      <c r="K3397" s="70"/>
      <c r="L3397" s="174">
        <v>0</v>
      </c>
    </row>
    <row r="3398" spans="1:12" ht="15.75" thickBot="1" x14ac:dyDescent="0.3">
      <c r="A3398" s="288" t="s">
        <v>1941</v>
      </c>
      <c r="B3398" s="289" t="str">
        <f>INDEX(Orçamentária!A:B,MATCH(Composições!A3398,Orçamentária!A:A,0),2)</f>
        <v>Escavação manual com profundidade maior do que 1,30 m</v>
      </c>
      <c r="C3398" s="274"/>
      <c r="D3398" s="265" t="str">
        <f>TRIM(INDEX(Orçamentária!C:C,MATCH(Composições!A3398,Orçamentária!A:A,0),1))</f>
        <v>m3</v>
      </c>
      <c r="E3398" s="290"/>
      <c r="F3398" s="311" t="s">
        <v>1942</v>
      </c>
      <c r="G3398" s="312" t="s">
        <v>1079</v>
      </c>
      <c r="H3398" s="261"/>
      <c r="I3398" s="261" t="str">
        <f>IF(ISNUMBER(G3398),E3398*G3398,"")</f>
        <v/>
      </c>
      <c r="J3398" s="280"/>
      <c r="K3398" s="18"/>
      <c r="L3398" s="174">
        <v>47.19</v>
      </c>
    </row>
    <row r="3399" spans="1:12" x14ac:dyDescent="0.25">
      <c r="A3399" s="300"/>
      <c r="B3399" s="292"/>
      <c r="C3399" s="155"/>
      <c r="D3399" s="155"/>
      <c r="E3399" s="293"/>
      <c r="F3399" s="294"/>
      <c r="G3399" s="313" t="s">
        <v>1079</v>
      </c>
      <c r="H3399" s="155"/>
      <c r="I3399" s="313" t="str">
        <f>IF(ISNUMBER(G3399),E3399*G3399,"")</f>
        <v/>
      </c>
      <c r="J3399" s="314"/>
      <c r="K3399" s="70"/>
      <c r="L3399" s="174">
        <v>47.19</v>
      </c>
    </row>
    <row r="3400" spans="1:12" x14ac:dyDescent="0.25">
      <c r="A3400" s="300"/>
      <c r="B3400" s="292"/>
      <c r="C3400" s="105" t="s">
        <v>38</v>
      </c>
      <c r="D3400" s="105" t="s">
        <v>21</v>
      </c>
      <c r="E3400" s="250">
        <v>4.3</v>
      </c>
      <c r="F3400" s="250" t="s">
        <v>1943</v>
      </c>
      <c r="G3400" s="313">
        <v>14.325999999999999</v>
      </c>
      <c r="H3400" s="176" t="s">
        <v>39</v>
      </c>
      <c r="I3400" s="313">
        <f>IF(ISNUMBER(G3400),E3400*G3400,"")</f>
        <v>61.60179999999999</v>
      </c>
      <c r="J3400" s="295">
        <f>SUM(I3400:I3400)</f>
        <v>61.60179999999999</v>
      </c>
      <c r="K3400" s="29"/>
      <c r="L3400" s="174">
        <v>47.19</v>
      </c>
    </row>
    <row r="3401" spans="1:12" ht="15.75" thickBot="1" x14ac:dyDescent="0.3">
      <c r="A3401" s="301"/>
      <c r="B3401" s="297"/>
      <c r="C3401" s="105"/>
      <c r="D3401" s="105"/>
      <c r="E3401" s="250"/>
      <c r="F3401" s="176"/>
      <c r="G3401" s="313" t="s">
        <v>1079</v>
      </c>
      <c r="H3401" s="176"/>
      <c r="I3401" s="313" t="str">
        <f>IF(ISNUMBER(G3401),E3401*G3401,"")</f>
        <v/>
      </c>
      <c r="J3401" s="314"/>
      <c r="K3401" s="70"/>
      <c r="L3401" s="174">
        <v>47.19</v>
      </c>
    </row>
    <row r="3402" spans="1:12" ht="15.75" hidden="1" thickBot="1" x14ac:dyDescent="0.3">
      <c r="A3402" s="180" t="s">
        <v>1944</v>
      </c>
      <c r="B3402" s="178" t="str">
        <f>INDEX(Orçamentária!A:B,MATCH(Composições!A3402,Orçamentária!A:A,0),2)</f>
        <v>Escavação mecânica com profundidade maior do que 1,30 m</v>
      </c>
      <c r="C3402" s="30"/>
      <c r="D3402" s="13" t="str">
        <f>TRIM(INDEX(Orçamentária!C:C,MATCH(Composições!A3402,Orçamentária!A:A,0),1))</f>
        <v>m3</v>
      </c>
      <c r="E3402" s="14"/>
      <c r="F3402" s="71" t="s">
        <v>1945</v>
      </c>
      <c r="G3402" s="40" t="s">
        <v>1079</v>
      </c>
      <c r="H3402" s="16"/>
      <c r="I3402" s="16" t="str">
        <f>IF(ISNUMBER(G3402),E3402*G3402,"")</f>
        <v/>
      </c>
      <c r="J3402" s="17"/>
      <c r="K3402" s="18"/>
      <c r="L3402" s="174">
        <v>0</v>
      </c>
    </row>
    <row r="3403" spans="1:12" ht="15.75" hidden="1" thickBot="1" x14ac:dyDescent="0.3">
      <c r="A3403" s="186"/>
      <c r="B3403" s="179"/>
      <c r="C3403" s="20"/>
      <c r="D3403" s="20"/>
      <c r="E3403" s="21"/>
      <c r="F3403" s="22"/>
      <c r="G3403" s="46" t="s">
        <v>1079</v>
      </c>
      <c r="H3403" s="20"/>
      <c r="I3403" s="46" t="str">
        <f>IF(ISNUMBER(G3403),E3403*G3403,"")</f>
        <v/>
      </c>
      <c r="J3403" s="69"/>
      <c r="K3403" s="70"/>
      <c r="L3403" s="174">
        <v>0</v>
      </c>
    </row>
    <row r="3404" spans="1:12" ht="26.25" hidden="1" thickBot="1" x14ac:dyDescent="0.3">
      <c r="A3404" s="186"/>
      <c r="B3404" s="179"/>
      <c r="C3404" s="25" t="s">
        <v>1946</v>
      </c>
      <c r="D3404" s="25" t="s">
        <v>1691</v>
      </c>
      <c r="E3404" s="26">
        <v>1.7600000000000001E-2</v>
      </c>
      <c r="F3404" s="27" t="s">
        <v>1945</v>
      </c>
      <c r="G3404" s="46">
        <v>95.161500000000004</v>
      </c>
      <c r="H3404" s="27" t="s">
        <v>1947</v>
      </c>
      <c r="I3404" s="46">
        <f>IF(ISNUMBER(G3404),E3404*G3404,"")</f>
        <v>1.6748424000000002</v>
      </c>
      <c r="J3404" s="28">
        <f>SUM(I3404:I3404)</f>
        <v>1.6748424000000002</v>
      </c>
      <c r="K3404" s="29"/>
      <c r="L3404" s="174">
        <v>0</v>
      </c>
    </row>
    <row r="3405" spans="1:12" ht="15.75" hidden="1" thickBot="1" x14ac:dyDescent="0.3">
      <c r="A3405" s="187"/>
      <c r="B3405" s="183"/>
      <c r="C3405" s="72"/>
      <c r="D3405" s="25"/>
      <c r="E3405" s="26"/>
      <c r="F3405" s="27"/>
      <c r="G3405" s="46" t="s">
        <v>1079</v>
      </c>
      <c r="H3405" s="27"/>
      <c r="I3405" s="46" t="str">
        <f>IF(ISNUMBER(G3405),E3405*G3405,"")</f>
        <v/>
      </c>
      <c r="J3405" s="69"/>
      <c r="K3405" s="70"/>
      <c r="L3405" s="174">
        <v>0</v>
      </c>
    </row>
    <row r="3406" spans="1:12" ht="15.75" hidden="1" thickBot="1" x14ac:dyDescent="0.3">
      <c r="A3406" s="180" t="s">
        <v>1948</v>
      </c>
      <c r="B3406" s="178" t="str">
        <f>INDEX(Orçamentária!A:B,MATCH(Composições!A3406,Orçamentária!A:A,0),2)</f>
        <v>Grama Batatais em placas de 40 x 40 cm</v>
      </c>
      <c r="C3406" s="30"/>
      <c r="D3406" s="13" t="str">
        <f>TRIM(INDEX(Orçamentária!C:C,MATCH(Composições!A3406,Orçamentária!A:A,0),1))</f>
        <v>m2</v>
      </c>
      <c r="E3406" s="14"/>
      <c r="F3406" s="15" t="s">
        <v>1949</v>
      </c>
      <c r="G3406" s="40" t="s">
        <v>1079</v>
      </c>
      <c r="H3406" s="16"/>
      <c r="I3406" s="16" t="str">
        <f>IF(ISNUMBER(G3406),E3406*G3406,"")</f>
        <v/>
      </c>
      <c r="J3406" s="17"/>
      <c r="K3406" s="18"/>
      <c r="L3406" s="174">
        <v>0</v>
      </c>
    </row>
    <row r="3407" spans="1:12" ht="15.75" hidden="1" thickBot="1" x14ac:dyDescent="0.3">
      <c r="A3407" s="181"/>
      <c r="B3407" s="179"/>
      <c r="C3407" s="20"/>
      <c r="D3407" s="20"/>
      <c r="E3407" s="21"/>
      <c r="F3407" s="22"/>
      <c r="G3407" s="46" t="s">
        <v>1079</v>
      </c>
      <c r="H3407" s="20"/>
      <c r="I3407" s="46" t="str">
        <f>IF(ISNUMBER(G3407),E3407*G3407,"")</f>
        <v/>
      </c>
      <c r="J3407" s="69"/>
      <c r="K3407" s="70"/>
      <c r="L3407" s="174">
        <v>0</v>
      </c>
    </row>
    <row r="3408" spans="1:12" ht="15.75" hidden="1" thickBot="1" x14ac:dyDescent="0.3">
      <c r="A3408" s="181"/>
      <c r="B3408" s="179"/>
      <c r="C3408" s="25" t="s">
        <v>1950</v>
      </c>
      <c r="D3408" s="41" t="s">
        <v>189</v>
      </c>
      <c r="E3408" s="26">
        <v>1</v>
      </c>
      <c r="F3408" s="27" t="s">
        <v>1951</v>
      </c>
      <c r="G3408" s="46">
        <v>4.7404999999999999</v>
      </c>
      <c r="H3408" s="27" t="s">
        <v>1952</v>
      </c>
      <c r="I3408" s="46">
        <f>IF(ISNUMBER(G3408),E3408*G3408,"")</f>
        <v>4.7404999999999999</v>
      </c>
      <c r="J3408" s="28">
        <f>SUM(I3408:I3418)</f>
        <v>36.958038994710002</v>
      </c>
      <c r="K3408" s="29"/>
      <c r="L3408" s="174">
        <v>0</v>
      </c>
    </row>
    <row r="3409" spans="1:12" ht="15.75" hidden="1" thickBot="1" x14ac:dyDescent="0.3">
      <c r="A3409" s="181"/>
      <c r="B3409" s="179"/>
      <c r="C3409" s="25" t="s">
        <v>38</v>
      </c>
      <c r="D3409" s="25" t="s">
        <v>21</v>
      </c>
      <c r="E3409" s="26">
        <v>0.15640000000000001</v>
      </c>
      <c r="F3409" s="27" t="s">
        <v>1951</v>
      </c>
      <c r="G3409" s="46">
        <v>14.325999999999999</v>
      </c>
      <c r="H3409" s="27" t="s">
        <v>39</v>
      </c>
      <c r="I3409" s="46">
        <f>IF(ISNUMBER(G3409),E3409*G3409,"")</f>
        <v>2.2405863999999998</v>
      </c>
      <c r="J3409" s="69"/>
      <c r="K3409" s="70"/>
      <c r="L3409" s="174">
        <v>0</v>
      </c>
    </row>
    <row r="3410" spans="1:12" ht="15.75" hidden="1" thickBot="1" x14ac:dyDescent="0.3">
      <c r="A3410" s="181"/>
      <c r="B3410" s="179"/>
      <c r="C3410" s="25" t="s">
        <v>1953</v>
      </c>
      <c r="D3410" s="25" t="s">
        <v>21</v>
      </c>
      <c r="E3410" s="26">
        <v>3.9100000000000003E-2</v>
      </c>
      <c r="F3410" s="27" t="s">
        <v>1951</v>
      </c>
      <c r="G3410" s="46">
        <v>18.5535</v>
      </c>
      <c r="H3410" s="27" t="s">
        <v>1954</v>
      </c>
      <c r="I3410" s="46">
        <f>IF(ISNUMBER(G3410),E3410*G3410,"")</f>
        <v>0.72544185000000005</v>
      </c>
      <c r="J3410" s="69"/>
      <c r="K3410" s="70"/>
      <c r="L3410" s="174">
        <v>0</v>
      </c>
    </row>
    <row r="3411" spans="1:12" ht="15.75" hidden="1" thickBot="1" x14ac:dyDescent="0.3">
      <c r="A3411" s="181"/>
      <c r="B3411" s="179"/>
      <c r="C3411" s="25" t="s">
        <v>38</v>
      </c>
      <c r="D3411" s="25" t="s">
        <v>21</v>
      </c>
      <c r="E3411" s="26">
        <f>1.6*0.25</f>
        <v>0.4</v>
      </c>
      <c r="F3411" s="27" t="s">
        <v>1955</v>
      </c>
      <c r="G3411" s="46">
        <v>14.325999999999999</v>
      </c>
      <c r="H3411" s="27" t="s">
        <v>39</v>
      </c>
      <c r="I3411" s="46">
        <f>IF(ISNUMBER(G3411),E3411*G3411,"")</f>
        <v>5.7303999999999995</v>
      </c>
      <c r="J3411" s="69"/>
      <c r="K3411" s="70"/>
      <c r="L3411" s="174">
        <v>0</v>
      </c>
    </row>
    <row r="3412" spans="1:12" ht="26.25" hidden="1" thickBot="1" x14ac:dyDescent="0.3">
      <c r="A3412" s="181"/>
      <c r="B3412" s="179"/>
      <c r="C3412" s="25" t="s">
        <v>1956</v>
      </c>
      <c r="D3412" s="25" t="s">
        <v>75</v>
      </c>
      <c r="E3412" s="26">
        <f>1*0.25</f>
        <v>0.25</v>
      </c>
      <c r="F3412" s="27" t="s">
        <v>1955</v>
      </c>
      <c r="G3412" s="46">
        <v>8.5499999999999993E-2</v>
      </c>
      <c r="H3412" s="27" t="s">
        <v>1957</v>
      </c>
      <c r="I3412" s="46">
        <f>IF(ISNUMBER(G3412),E3412*G3412,"")</f>
        <v>2.1374999999999998E-2</v>
      </c>
      <c r="J3412" s="69"/>
      <c r="K3412" s="70"/>
      <c r="L3412" s="174">
        <v>0</v>
      </c>
    </row>
    <row r="3413" spans="1:12" ht="15.75" hidden="1" thickBot="1" x14ac:dyDescent="0.3">
      <c r="A3413" s="181"/>
      <c r="B3413" s="179"/>
      <c r="C3413" s="25" t="s">
        <v>1958</v>
      </c>
      <c r="D3413" s="25" t="s">
        <v>228</v>
      </c>
      <c r="E3413" s="26">
        <f>0.9*0.25</f>
        <v>0.22500000000000001</v>
      </c>
      <c r="F3413" s="27" t="s">
        <v>1955</v>
      </c>
      <c r="G3413" s="46">
        <v>101.783</v>
      </c>
      <c r="H3413" s="27" t="s">
        <v>1959</v>
      </c>
      <c r="I3413" s="46">
        <f>IF(ISNUMBER(G3413),E3413*G3413,"")</f>
        <v>22.901175000000002</v>
      </c>
      <c r="J3413" s="69"/>
      <c r="K3413" s="70"/>
      <c r="L3413" s="174">
        <v>0</v>
      </c>
    </row>
    <row r="3414" spans="1:12" ht="15.75" hidden="1" thickBot="1" x14ac:dyDescent="0.3">
      <c r="A3414" s="181"/>
      <c r="B3414" s="179"/>
      <c r="C3414" s="25" t="s">
        <v>1960</v>
      </c>
      <c r="D3414" s="36" t="s">
        <v>75</v>
      </c>
      <c r="E3414" s="26">
        <f>1*0.25</f>
        <v>0.25</v>
      </c>
      <c r="F3414" s="27" t="s">
        <v>1955</v>
      </c>
      <c r="G3414" s="46">
        <v>2.2989999999999999</v>
      </c>
      <c r="H3414" s="27" t="s">
        <v>1961</v>
      </c>
      <c r="I3414" s="46">
        <f>IF(ISNUMBER(G3414),E3414*G3414,"")</f>
        <v>0.57474999999999998</v>
      </c>
      <c r="J3414" s="69"/>
      <c r="K3414" s="70"/>
      <c r="L3414" s="174">
        <v>0</v>
      </c>
    </row>
    <row r="3415" spans="1:12" ht="15.75" hidden="1" thickBot="1" x14ac:dyDescent="0.3">
      <c r="A3415" s="181"/>
      <c r="B3415" s="179"/>
      <c r="C3415" s="25" t="s">
        <v>1962</v>
      </c>
      <c r="D3415" s="36" t="s">
        <v>75</v>
      </c>
      <c r="E3415" s="26">
        <f>0.1*0.25</f>
        <v>2.5000000000000001E-2</v>
      </c>
      <c r="F3415" s="27" t="s">
        <v>1955</v>
      </c>
      <c r="G3415" s="46">
        <v>0.8075</v>
      </c>
      <c r="H3415" s="27" t="s">
        <v>1963</v>
      </c>
      <c r="I3415" s="46">
        <f>IF(ISNUMBER(G3415),E3415*G3415,"")</f>
        <v>2.0187500000000001E-2</v>
      </c>
      <c r="J3415" s="69"/>
      <c r="K3415" s="70"/>
      <c r="L3415" s="174">
        <v>0</v>
      </c>
    </row>
    <row r="3416" spans="1:12" ht="39" hidden="1" thickBot="1" x14ac:dyDescent="0.3">
      <c r="A3416" s="181"/>
      <c r="B3416" s="179"/>
      <c r="C3416" s="25" t="s">
        <v>251</v>
      </c>
      <c r="D3416" s="25" t="s">
        <v>1964</v>
      </c>
      <c r="E3416" s="26">
        <f>ROUND(1*E3412/1000,4)</f>
        <v>2.9999999999999997E-4</v>
      </c>
      <c r="F3416" s="27" t="s">
        <v>17</v>
      </c>
      <c r="G3416" s="23">
        <v>0.48659570000000002</v>
      </c>
      <c r="H3416" s="27" t="s">
        <v>1965</v>
      </c>
      <c r="I3416" s="23">
        <f>IF(ISNUMBER(G3416),E3416*G3416,"")</f>
        <v>1.4597870999999999E-4</v>
      </c>
      <c r="J3416" s="24"/>
      <c r="K3416" s="19"/>
      <c r="L3416" s="174">
        <v>0</v>
      </c>
    </row>
    <row r="3417" spans="1:12" ht="39" hidden="1" thickBot="1" x14ac:dyDescent="0.3">
      <c r="A3417" s="181"/>
      <c r="B3417" s="179"/>
      <c r="C3417" s="25" t="s">
        <v>1456</v>
      </c>
      <c r="D3417" s="25" t="s">
        <v>1457</v>
      </c>
      <c r="E3417" s="26">
        <f>20*E3412*1/1000</f>
        <v>5.0000000000000001E-3</v>
      </c>
      <c r="F3417" s="27" t="s">
        <v>17</v>
      </c>
      <c r="G3417" s="46">
        <v>0.69545319999999999</v>
      </c>
      <c r="H3417" s="27" t="s">
        <v>1458</v>
      </c>
      <c r="I3417" s="46">
        <f>IF(ISNUMBER(G3417),E3417*G3417,"")</f>
        <v>3.4772660000000001E-3</v>
      </c>
      <c r="J3417" s="69"/>
      <c r="K3417" s="70"/>
      <c r="L3417" s="174">
        <v>0</v>
      </c>
    </row>
    <row r="3418" spans="1:12" ht="15.75" hidden="1" thickBot="1" x14ac:dyDescent="0.3">
      <c r="A3418" s="181"/>
      <c r="B3418" s="179"/>
      <c r="C3418" s="25"/>
      <c r="D3418" s="25"/>
      <c r="E3418" s="26"/>
      <c r="F3418" s="27"/>
      <c r="G3418" s="46" t="s">
        <v>1079</v>
      </c>
      <c r="H3418" s="27"/>
      <c r="I3418" s="46" t="str">
        <f>IF(ISNUMBER(G3418),E3418*G3418,"")</f>
        <v/>
      </c>
      <c r="J3418" s="69"/>
      <c r="K3418" s="70"/>
      <c r="L3418" s="174">
        <v>0</v>
      </c>
    </row>
    <row r="3419" spans="1:12" ht="26.25" hidden="1" thickBot="1" x14ac:dyDescent="0.3">
      <c r="A3419" s="181"/>
      <c r="B3419" s="179"/>
      <c r="C3419" s="39" t="s">
        <v>1966</v>
      </c>
      <c r="D3419" s="25"/>
      <c r="E3419" s="26"/>
      <c r="F3419" s="27"/>
      <c r="G3419" s="46" t="s">
        <v>1079</v>
      </c>
      <c r="H3419" s="27"/>
      <c r="I3419" s="46" t="str">
        <f>IF(ISNUMBER(G3419),E3419*G3419,"")</f>
        <v/>
      </c>
      <c r="J3419" s="69"/>
      <c r="K3419" s="70"/>
      <c r="L3419" s="174">
        <v>0</v>
      </c>
    </row>
    <row r="3420" spans="1:12" ht="15.75" hidden="1" thickBot="1" x14ac:dyDescent="0.3">
      <c r="A3420" s="182"/>
      <c r="B3420" s="183"/>
      <c r="C3420" s="25"/>
      <c r="D3420" s="25"/>
      <c r="E3420" s="26"/>
      <c r="F3420" s="27"/>
      <c r="G3420" s="46" t="s">
        <v>1079</v>
      </c>
      <c r="H3420" s="27"/>
      <c r="I3420" s="46" t="str">
        <f>IF(ISNUMBER(G3420),E3420*G3420,"")</f>
        <v/>
      </c>
      <c r="J3420" s="69"/>
      <c r="K3420" s="70"/>
      <c r="L3420" s="174">
        <v>0</v>
      </c>
    </row>
    <row r="3421" spans="1:12" ht="15.75" hidden="1" thickBot="1" x14ac:dyDescent="0.3">
      <c r="A3421" s="180" t="s">
        <v>1967</v>
      </c>
      <c r="B3421" s="178" t="str">
        <f>INDEX(Orçamentária!A:B,MATCH(Composições!A3421,Orçamentária!A:A,0),2)</f>
        <v>Pintura de meios-fios com tinta acrílica</v>
      </c>
      <c r="C3421" s="30"/>
      <c r="D3421" s="13" t="str">
        <f>TRIM(INDEX(Orçamentária!C:C,MATCH(Composições!A3421,Orçamentária!A:A,0),1))</f>
        <v>m</v>
      </c>
      <c r="E3421" s="14"/>
      <c r="F3421" s="15" t="s">
        <v>1968</v>
      </c>
      <c r="G3421" s="40" t="s">
        <v>1079</v>
      </c>
      <c r="H3421" s="16"/>
      <c r="I3421" s="16" t="str">
        <f>IF(ISNUMBER(G3421),E3421*G3421,"")</f>
        <v/>
      </c>
      <c r="J3421" s="17"/>
      <c r="K3421" s="18"/>
      <c r="L3421" s="174">
        <v>0</v>
      </c>
    </row>
    <row r="3422" spans="1:12" ht="15.75" hidden="1" thickBot="1" x14ac:dyDescent="0.3">
      <c r="A3422" s="186"/>
      <c r="B3422" s="179"/>
      <c r="C3422" s="20"/>
      <c r="D3422" s="20"/>
      <c r="E3422" s="21"/>
      <c r="F3422" s="22"/>
      <c r="G3422" s="46" t="s">
        <v>1079</v>
      </c>
      <c r="H3422" s="20"/>
      <c r="I3422" s="46" t="str">
        <f>IF(ISNUMBER(G3422),E3422*G3422,"")</f>
        <v/>
      </c>
      <c r="J3422" s="69"/>
      <c r="K3422" s="70"/>
      <c r="L3422" s="174">
        <v>0</v>
      </c>
    </row>
    <row r="3423" spans="1:12" ht="15.75" hidden="1" thickBot="1" x14ac:dyDescent="0.3">
      <c r="A3423" s="186"/>
      <c r="B3423" s="179"/>
      <c r="C3423" s="25" t="s">
        <v>1969</v>
      </c>
      <c r="D3423" s="41" t="s">
        <v>208</v>
      </c>
      <c r="E3423" s="26">
        <f>ROUND(0.17/2*(0.25+0.13+0.25),4)</f>
        <v>5.3600000000000002E-2</v>
      </c>
      <c r="F3423" s="27" t="s">
        <v>1970</v>
      </c>
      <c r="G3423" s="46">
        <v>13.224</v>
      </c>
      <c r="H3423" s="27" t="s">
        <v>1971</v>
      </c>
      <c r="I3423" s="46">
        <f>IF(ISNUMBER(G3423),E3423*G3423,"")</f>
        <v>0.70880640000000006</v>
      </c>
      <c r="J3423" s="28">
        <f>SUM(I3423:I3425)</f>
        <v>4.0636981499999996</v>
      </c>
      <c r="K3423" s="29"/>
      <c r="L3423" s="174">
        <v>0</v>
      </c>
    </row>
    <row r="3424" spans="1:12" ht="15.75" hidden="1" thickBot="1" x14ac:dyDescent="0.3">
      <c r="A3424" s="186"/>
      <c r="B3424" s="179"/>
      <c r="C3424" s="25" t="s">
        <v>1972</v>
      </c>
      <c r="D3424" s="25" t="s">
        <v>1366</v>
      </c>
      <c r="E3424" s="26">
        <f>0.35*(0.25+0.13+0.25)/2</f>
        <v>0.11024999999999999</v>
      </c>
      <c r="F3424" s="27" t="s">
        <v>1970</v>
      </c>
      <c r="G3424" s="46">
        <v>20.196999999999999</v>
      </c>
      <c r="H3424" s="27" t="s">
        <v>206</v>
      </c>
      <c r="I3424" s="46">
        <f>IF(ISNUMBER(G3424),E3424*G3424,"")</f>
        <v>2.2267192499999995</v>
      </c>
      <c r="J3424" s="69"/>
      <c r="K3424" s="70"/>
      <c r="L3424" s="174">
        <v>0</v>
      </c>
    </row>
    <row r="3425" spans="1:12" ht="15.75" hidden="1" thickBot="1" x14ac:dyDescent="0.3">
      <c r="A3425" s="186"/>
      <c r="B3425" s="179"/>
      <c r="C3425" s="25" t="s">
        <v>38</v>
      </c>
      <c r="D3425" s="25" t="s">
        <v>1366</v>
      </c>
      <c r="E3425" s="26">
        <f>0.25*(0.25+0.13+0.25)/2</f>
        <v>7.8750000000000001E-2</v>
      </c>
      <c r="F3425" s="27" t="s">
        <v>1970</v>
      </c>
      <c r="G3425" s="46">
        <v>14.325999999999999</v>
      </c>
      <c r="H3425" s="27" t="s">
        <v>39</v>
      </c>
      <c r="I3425" s="46">
        <f>IF(ISNUMBER(G3425),E3425*G3425,"")</f>
        <v>1.1281724999999998</v>
      </c>
      <c r="J3425" s="69"/>
      <c r="K3425" s="70"/>
      <c r="L3425" s="174">
        <v>0</v>
      </c>
    </row>
    <row r="3426" spans="1:12" ht="15.75" hidden="1" thickBot="1" x14ac:dyDescent="0.3">
      <c r="A3426" s="186"/>
      <c r="B3426" s="179"/>
      <c r="C3426" s="25"/>
      <c r="D3426" s="25"/>
      <c r="E3426" s="26"/>
      <c r="F3426" s="27"/>
      <c r="G3426" s="46" t="s">
        <v>1079</v>
      </c>
      <c r="H3426" s="27"/>
      <c r="I3426" s="46" t="str">
        <f>IF(ISNUMBER(G3426),E3426*G3426,"")</f>
        <v/>
      </c>
      <c r="J3426" s="69"/>
      <c r="K3426" s="70"/>
      <c r="L3426" s="174">
        <v>0</v>
      </c>
    </row>
    <row r="3427" spans="1:12" ht="26.25" hidden="1" thickBot="1" x14ac:dyDescent="0.3">
      <c r="A3427" s="186"/>
      <c r="B3427" s="179"/>
      <c r="C3427" s="39" t="s">
        <v>1973</v>
      </c>
      <c r="D3427" s="25"/>
      <c r="E3427" s="26"/>
      <c r="F3427" s="27"/>
      <c r="G3427" s="46" t="s">
        <v>1079</v>
      </c>
      <c r="H3427" s="27"/>
      <c r="I3427" s="46" t="str">
        <f>IF(ISNUMBER(G3427),E3427*G3427,"")</f>
        <v/>
      </c>
      <c r="J3427" s="69"/>
      <c r="K3427" s="70"/>
      <c r="L3427" s="174">
        <v>0</v>
      </c>
    </row>
    <row r="3428" spans="1:12" ht="15.75" hidden="1" thickBot="1" x14ac:dyDescent="0.3">
      <c r="A3428" s="187"/>
      <c r="B3428" s="183"/>
      <c r="C3428" s="25"/>
      <c r="D3428" s="25"/>
      <c r="E3428" s="26"/>
      <c r="F3428" s="27"/>
      <c r="G3428" s="46" t="s">
        <v>1079</v>
      </c>
      <c r="H3428" s="1"/>
      <c r="I3428" s="46" t="str">
        <f>IF(ISNUMBER(G3428),E3428*G3428,"")</f>
        <v/>
      </c>
      <c r="J3428" s="69"/>
      <c r="K3428" s="70"/>
      <c r="L3428" s="174">
        <v>0</v>
      </c>
    </row>
    <row r="3429" spans="1:12" ht="15.75" hidden="1" thickBot="1" x14ac:dyDescent="0.3">
      <c r="A3429" s="180" t="s">
        <v>1974</v>
      </c>
      <c r="B3429" s="178" t="str">
        <f>INDEX(Orçamentária!A:B,MATCH(Composições!A3429,Orçamentária!A:A,0),2)</f>
        <v>Meios-fios em concreto pré-moldado</v>
      </c>
      <c r="C3429" s="30"/>
      <c r="D3429" s="13" t="str">
        <f>TRIM(INDEX(Orçamentária!C:C,MATCH(Composições!A3429,Orçamentária!A:A,0),1))</f>
        <v>m</v>
      </c>
      <c r="E3429" s="14"/>
      <c r="F3429" s="15" t="s">
        <v>1975</v>
      </c>
      <c r="G3429" s="40" t="s">
        <v>1079</v>
      </c>
      <c r="H3429" s="16"/>
      <c r="I3429" s="16" t="str">
        <f>IF(ISNUMBER(G3429),E3429*G3429,"")</f>
        <v/>
      </c>
      <c r="J3429" s="17"/>
      <c r="K3429" s="18"/>
      <c r="L3429" s="174">
        <v>0</v>
      </c>
    </row>
    <row r="3430" spans="1:12" ht="15.75" hidden="1" thickBot="1" x14ac:dyDescent="0.3">
      <c r="A3430" s="181"/>
      <c r="B3430" s="179"/>
      <c r="C3430" s="20"/>
      <c r="D3430" s="20"/>
      <c r="E3430" s="21"/>
      <c r="F3430" s="22"/>
      <c r="G3430" s="46" t="s">
        <v>1079</v>
      </c>
      <c r="H3430" s="20"/>
      <c r="I3430" s="46" t="str">
        <f>IF(ISNUMBER(G3430),E3430*G3430,"")</f>
        <v/>
      </c>
      <c r="J3430" s="69"/>
      <c r="K3430" s="70"/>
      <c r="L3430" s="174">
        <v>0</v>
      </c>
    </row>
    <row r="3431" spans="1:12" ht="26.25" hidden="1" thickBot="1" x14ac:dyDescent="0.3">
      <c r="A3431" s="181"/>
      <c r="B3431" s="179"/>
      <c r="C3431" s="25" t="s">
        <v>1455</v>
      </c>
      <c r="D3431" s="25" t="s">
        <v>228</v>
      </c>
      <c r="E3431" s="26">
        <v>7.0000000000000001E-3</v>
      </c>
      <c r="F3431" s="27" t="s">
        <v>1976</v>
      </c>
      <c r="G3431" s="46">
        <v>93.8125</v>
      </c>
      <c r="H3431" s="27" t="s">
        <v>240</v>
      </c>
      <c r="I3431" s="46">
        <f>IF(ISNUMBER(G3431),E3431*G3431,"")</f>
        <v>0.65668749999999998</v>
      </c>
      <c r="J3431" s="28">
        <f>SUM(I3431:I3439)</f>
        <v>32.515415940899992</v>
      </c>
      <c r="K3431" s="29"/>
      <c r="L3431" s="174">
        <v>0</v>
      </c>
    </row>
    <row r="3432" spans="1:12" ht="26.25" hidden="1" thickBot="1" x14ac:dyDescent="0.3">
      <c r="A3432" s="181"/>
      <c r="B3432" s="179"/>
      <c r="C3432" s="25" t="s">
        <v>1977</v>
      </c>
      <c r="D3432" s="25" t="s">
        <v>184</v>
      </c>
      <c r="E3432" s="26">
        <v>1.0049999999999999</v>
      </c>
      <c r="F3432" s="27" t="s">
        <v>1976</v>
      </c>
      <c r="G3432" s="46">
        <v>17.574999999999999</v>
      </c>
      <c r="H3432" s="27" t="s">
        <v>1978</v>
      </c>
      <c r="I3432" s="46">
        <f>IF(ISNUMBER(G3432),E3432*G3432,"")</f>
        <v>17.662874999999996</v>
      </c>
      <c r="J3432" s="69"/>
      <c r="K3432" s="70"/>
      <c r="L3432" s="174">
        <v>0</v>
      </c>
    </row>
    <row r="3433" spans="1:12" ht="15.75" hidden="1" thickBot="1" x14ac:dyDescent="0.3">
      <c r="A3433" s="181"/>
      <c r="B3433" s="179"/>
      <c r="C3433" s="25" t="s">
        <v>36</v>
      </c>
      <c r="D3433" s="25" t="s">
        <v>21</v>
      </c>
      <c r="E3433" s="26">
        <v>0.39400000000000002</v>
      </c>
      <c r="F3433" s="27" t="s">
        <v>1976</v>
      </c>
      <c r="G3433" s="46">
        <v>19.142499999999998</v>
      </c>
      <c r="H3433" s="27" t="s">
        <v>37</v>
      </c>
      <c r="I3433" s="46">
        <f>IF(ISNUMBER(G3433),E3433*G3433,"")</f>
        <v>7.5421449999999997</v>
      </c>
      <c r="J3433" s="69"/>
      <c r="K3433" s="70"/>
      <c r="L3433" s="174">
        <v>0</v>
      </c>
    </row>
    <row r="3434" spans="1:12" ht="15.75" hidden="1" thickBot="1" x14ac:dyDescent="0.3">
      <c r="A3434" s="181"/>
      <c r="B3434" s="179"/>
      <c r="C3434" s="25" t="s">
        <v>38</v>
      </c>
      <c r="D3434" s="25" t="s">
        <v>21</v>
      </c>
      <c r="E3434" s="26">
        <v>0.39400000000000002</v>
      </c>
      <c r="F3434" s="27" t="s">
        <v>1976</v>
      </c>
      <c r="G3434" s="46">
        <v>14.325999999999999</v>
      </c>
      <c r="H3434" s="27" t="s">
        <v>39</v>
      </c>
      <c r="I3434" s="46">
        <f>IF(ISNUMBER(G3434),E3434*G3434,"")</f>
        <v>5.644444</v>
      </c>
      <c r="J3434" s="69"/>
      <c r="K3434" s="70"/>
      <c r="L3434" s="174">
        <v>0</v>
      </c>
    </row>
    <row r="3435" spans="1:12" ht="26.25" hidden="1" thickBot="1" x14ac:dyDescent="0.3">
      <c r="A3435" s="181"/>
      <c r="B3435" s="179"/>
      <c r="C3435" s="25" t="s">
        <v>227</v>
      </c>
      <c r="D3435" s="25" t="s">
        <v>228</v>
      </c>
      <c r="E3435" s="26">
        <v>2E-3</v>
      </c>
      <c r="F3435" s="27" t="s">
        <v>1976</v>
      </c>
      <c r="G3435" s="46">
        <v>429.61257294999996</v>
      </c>
      <c r="H3435" s="27" t="s">
        <v>229</v>
      </c>
      <c r="I3435" s="46">
        <f>IF(ISNUMBER(G3435),E3435*G3435,"")</f>
        <v>0.85922514589999999</v>
      </c>
      <c r="J3435" s="69"/>
      <c r="K3435" s="70"/>
      <c r="L3435" s="174">
        <v>0</v>
      </c>
    </row>
    <row r="3436" spans="1:12" ht="39" hidden="1" thickBot="1" x14ac:dyDescent="0.3">
      <c r="A3436" s="181"/>
      <c r="B3436" s="179"/>
      <c r="C3436" s="25" t="s">
        <v>251</v>
      </c>
      <c r="D3436" s="25" t="s">
        <v>228</v>
      </c>
      <c r="E3436" s="26">
        <f>1*E3431</f>
        <v>7.0000000000000001E-3</v>
      </c>
      <c r="F3436" s="27" t="s">
        <v>17</v>
      </c>
      <c r="G3436" s="23">
        <v>0.72471700000000006</v>
      </c>
      <c r="H3436" s="27" t="s">
        <v>253</v>
      </c>
      <c r="I3436" s="23">
        <f>IF(ISNUMBER(G3436),E3436*G3436,"")</f>
        <v>5.0730190000000007E-3</v>
      </c>
      <c r="J3436" s="24"/>
      <c r="K3436" s="19"/>
      <c r="L3436" s="174">
        <v>0</v>
      </c>
    </row>
    <row r="3437" spans="1:12" ht="39" hidden="1" thickBot="1" x14ac:dyDescent="0.3">
      <c r="A3437" s="181"/>
      <c r="B3437" s="179"/>
      <c r="C3437" s="25" t="s">
        <v>254</v>
      </c>
      <c r="D3437" s="25" t="s">
        <v>255</v>
      </c>
      <c r="E3437" s="26">
        <f>0.007*20</f>
        <v>0.14000000000000001</v>
      </c>
      <c r="F3437" s="27" t="s">
        <v>17</v>
      </c>
      <c r="G3437" s="46">
        <v>1.0354733999999999</v>
      </c>
      <c r="H3437" s="27" t="s">
        <v>256</v>
      </c>
      <c r="I3437" s="46">
        <f>IF(ISNUMBER(G3437),E3437*G3437,"")</f>
        <v>0.14496627600000001</v>
      </c>
      <c r="J3437" s="69"/>
      <c r="K3437" s="70"/>
      <c r="L3437" s="174">
        <v>0</v>
      </c>
    </row>
    <row r="3438" spans="1:12" ht="15.75" hidden="1" thickBot="1" x14ac:dyDescent="0.3">
      <c r="A3438" s="181"/>
      <c r="B3438" s="179"/>
      <c r="C3438" s="25"/>
      <c r="D3438" s="25"/>
      <c r="E3438" s="26"/>
      <c r="F3438" s="27"/>
      <c r="G3438" s="46" t="s">
        <v>1079</v>
      </c>
      <c r="H3438" s="27"/>
      <c r="I3438" s="46" t="str">
        <f>IF(ISNUMBER(G3438),E3438*G3438,"")</f>
        <v/>
      </c>
      <c r="J3438" s="69"/>
      <c r="K3438" s="70"/>
      <c r="L3438" s="174">
        <v>0</v>
      </c>
    </row>
    <row r="3439" spans="1:12" ht="15.75" hidden="1" thickBot="1" x14ac:dyDescent="0.3">
      <c r="A3439" s="181"/>
      <c r="B3439" s="179"/>
      <c r="C3439" s="39" t="s">
        <v>1979</v>
      </c>
      <c r="D3439" s="25"/>
      <c r="E3439" s="26"/>
      <c r="F3439" s="27"/>
      <c r="G3439" s="46" t="s">
        <v>1079</v>
      </c>
      <c r="H3439" s="27"/>
      <c r="I3439" s="46" t="str">
        <f>IF(ISNUMBER(G3439),E3439*G3439,"")</f>
        <v/>
      </c>
      <c r="J3439" s="69"/>
      <c r="K3439" s="70"/>
      <c r="L3439" s="174">
        <v>0</v>
      </c>
    </row>
    <row r="3440" spans="1:12" ht="15.75" hidden="1" thickBot="1" x14ac:dyDescent="0.3">
      <c r="A3440" s="182"/>
      <c r="B3440" s="183"/>
      <c r="C3440" s="25"/>
      <c r="D3440" s="25"/>
      <c r="E3440" s="26"/>
      <c r="F3440" s="27"/>
      <c r="G3440" s="46" t="s">
        <v>1079</v>
      </c>
      <c r="H3440" s="27"/>
      <c r="I3440" s="46" t="str">
        <f>IF(ISNUMBER(G3440),E3440*G3440,"")</f>
        <v/>
      </c>
      <c r="J3440" s="69"/>
      <c r="K3440" s="70"/>
      <c r="L3440" s="174">
        <v>0</v>
      </c>
    </row>
    <row r="3441" spans="1:12" ht="15.75" hidden="1" thickBot="1" x14ac:dyDescent="0.3">
      <c r="A3441" s="180" t="s">
        <v>1980</v>
      </c>
      <c r="B3441" s="178" t="str">
        <f>INDEX(Orçamentária!A:B,MATCH(Composições!A3441,Orçamentária!A:A,0),2)</f>
        <v>Tubo PEAD corrugado para drenagem – Diâmetro 100 mm</v>
      </c>
      <c r="C3441" s="30"/>
      <c r="D3441" s="13" t="str">
        <f>TRIM(INDEX(Orçamentária!C:C,MATCH(Composições!A3441,Orçamentária!A:A,0),1))</f>
        <v>m</v>
      </c>
      <c r="E3441" s="14"/>
      <c r="F3441" s="15" t="s">
        <v>1981</v>
      </c>
      <c r="G3441" s="40" t="s">
        <v>1079</v>
      </c>
      <c r="H3441" s="16"/>
      <c r="I3441" s="16" t="str">
        <f>IF(ISNUMBER(G3441),E3441*G3441,"")</f>
        <v/>
      </c>
      <c r="J3441" s="17"/>
      <c r="K3441" s="18"/>
      <c r="L3441" s="174">
        <v>0</v>
      </c>
    </row>
    <row r="3442" spans="1:12" ht="15.75" hidden="1" thickBot="1" x14ac:dyDescent="0.3">
      <c r="A3442" s="181"/>
      <c r="B3442" s="179"/>
      <c r="C3442" s="20"/>
      <c r="D3442" s="20"/>
      <c r="E3442" s="21"/>
      <c r="F3442" s="22"/>
      <c r="G3442" s="46" t="s">
        <v>1079</v>
      </c>
      <c r="H3442" s="20"/>
      <c r="I3442" s="46" t="str">
        <f>IF(ISNUMBER(G3442),E3442*G3442,"")</f>
        <v/>
      </c>
      <c r="J3442" s="69"/>
      <c r="K3442" s="70"/>
      <c r="L3442" s="174">
        <v>0</v>
      </c>
    </row>
    <row r="3443" spans="1:12" ht="26.25" hidden="1" thickBot="1" x14ac:dyDescent="0.3">
      <c r="A3443" s="181"/>
      <c r="B3443" s="179"/>
      <c r="C3443" s="25" t="s">
        <v>1982</v>
      </c>
      <c r="D3443" s="25" t="s">
        <v>252</v>
      </c>
      <c r="E3443" s="26">
        <v>8.2100000000000006E-2</v>
      </c>
      <c r="F3443" s="27" t="s">
        <v>1983</v>
      </c>
      <c r="G3443" s="46">
        <v>62.082499999999989</v>
      </c>
      <c r="H3443" s="27" t="s">
        <v>303</v>
      </c>
      <c r="I3443" s="46">
        <f>IF(ISNUMBER(G3443),E3443*G3443,"")</f>
        <v>5.0969732499999996</v>
      </c>
      <c r="J3443" s="28">
        <f>SUM(I3443:I3453)</f>
        <v>23.546098488499997</v>
      </c>
      <c r="K3443" s="29"/>
      <c r="L3443" s="174">
        <v>0</v>
      </c>
    </row>
    <row r="3444" spans="1:12" ht="51.75" hidden="1" thickBot="1" x14ac:dyDescent="0.3">
      <c r="A3444" s="181"/>
      <c r="B3444" s="179"/>
      <c r="C3444" s="25" t="s">
        <v>1984</v>
      </c>
      <c r="D3444" s="25" t="s">
        <v>1691</v>
      </c>
      <c r="E3444" s="26">
        <v>3.2000000000000002E-3</v>
      </c>
      <c r="F3444" s="27" t="s">
        <v>1983</v>
      </c>
      <c r="G3444" s="46">
        <v>103.53100000000001</v>
      </c>
      <c r="H3444" s="27" t="s">
        <v>1985</v>
      </c>
      <c r="I3444" s="46">
        <f>IF(ISNUMBER(G3444),E3444*G3444,"")</f>
        <v>0.33129920000000002</v>
      </c>
      <c r="J3444" s="69"/>
      <c r="K3444" s="70"/>
      <c r="L3444" s="174">
        <v>0</v>
      </c>
    </row>
    <row r="3445" spans="1:12" ht="39" hidden="1" thickBot="1" x14ac:dyDescent="0.3">
      <c r="A3445" s="181"/>
      <c r="B3445" s="179"/>
      <c r="C3445" s="25" t="s">
        <v>1986</v>
      </c>
      <c r="D3445" s="25" t="s">
        <v>988</v>
      </c>
      <c r="E3445" s="26">
        <v>1</v>
      </c>
      <c r="F3445" s="27" t="s">
        <v>1983</v>
      </c>
      <c r="G3445" s="46">
        <v>4.5314999999999994</v>
      </c>
      <c r="H3445" s="27" t="s">
        <v>1987</v>
      </c>
      <c r="I3445" s="46">
        <f>IF(ISNUMBER(G3445),E3445*G3445,"")</f>
        <v>4.5314999999999994</v>
      </c>
      <c r="J3445" s="69"/>
      <c r="K3445" s="70"/>
      <c r="L3445" s="174">
        <v>0</v>
      </c>
    </row>
    <row r="3446" spans="1:12" ht="26.25" hidden="1" thickBot="1" x14ac:dyDescent="0.3">
      <c r="A3446" s="181"/>
      <c r="B3446" s="179"/>
      <c r="C3446" s="25" t="s">
        <v>1713</v>
      </c>
      <c r="D3446" s="25" t="s">
        <v>1366</v>
      </c>
      <c r="E3446" s="26">
        <v>1.7500000000000002E-2</v>
      </c>
      <c r="F3446" s="27" t="s">
        <v>1983</v>
      </c>
      <c r="G3446" s="46">
        <v>18.743500000000001</v>
      </c>
      <c r="H3446" s="27" t="s">
        <v>71</v>
      </c>
      <c r="I3446" s="46">
        <f>IF(ISNUMBER(G3446),E3446*G3446,"")</f>
        <v>0.32801125000000003</v>
      </c>
      <c r="J3446" s="69"/>
      <c r="K3446" s="70"/>
      <c r="L3446" s="174">
        <v>0</v>
      </c>
    </row>
    <row r="3447" spans="1:12" ht="15.75" hidden="1" thickBot="1" x14ac:dyDescent="0.3">
      <c r="A3447" s="181"/>
      <c r="B3447" s="179"/>
      <c r="C3447" s="25" t="s">
        <v>1367</v>
      </c>
      <c r="D3447" s="25" t="s">
        <v>1366</v>
      </c>
      <c r="E3447" s="26">
        <v>0.79930000000000001</v>
      </c>
      <c r="F3447" s="27" t="s">
        <v>1983</v>
      </c>
      <c r="G3447" s="46">
        <v>14.325999999999999</v>
      </c>
      <c r="H3447" s="27" t="s">
        <v>39</v>
      </c>
      <c r="I3447" s="46">
        <f>IF(ISNUMBER(G3447),E3447*G3447,"")</f>
        <v>11.450771799999998</v>
      </c>
      <c r="J3447" s="69"/>
      <c r="K3447" s="70"/>
      <c r="L3447" s="174">
        <v>0</v>
      </c>
    </row>
    <row r="3448" spans="1:12" ht="39" hidden="1" thickBot="1" x14ac:dyDescent="0.3">
      <c r="A3448" s="181"/>
      <c r="B3448" s="179"/>
      <c r="C3448" s="25" t="s">
        <v>1988</v>
      </c>
      <c r="D3448" s="25" t="s">
        <v>1691</v>
      </c>
      <c r="E3448" s="26">
        <v>7.6E-3</v>
      </c>
      <c r="F3448" s="27" t="s">
        <v>1983</v>
      </c>
      <c r="G3448" s="46">
        <v>6.2889999999999997</v>
      </c>
      <c r="H3448" s="27" t="s">
        <v>1989</v>
      </c>
      <c r="I3448" s="46">
        <f>IF(ISNUMBER(G3448),E3448*G3448,"")</f>
        <v>4.7796399999999996E-2</v>
      </c>
      <c r="J3448" s="69"/>
      <c r="K3448" s="70"/>
      <c r="L3448" s="174">
        <v>0</v>
      </c>
    </row>
    <row r="3449" spans="1:12" ht="39" hidden="1" thickBot="1" x14ac:dyDescent="0.3">
      <c r="A3449" s="181"/>
      <c r="B3449" s="179"/>
      <c r="C3449" s="25" t="s">
        <v>251</v>
      </c>
      <c r="D3449" s="25" t="s">
        <v>228</v>
      </c>
      <c r="E3449" s="26">
        <f>1*E3443</f>
        <v>8.2100000000000006E-2</v>
      </c>
      <c r="F3449" s="27" t="s">
        <v>17</v>
      </c>
      <c r="G3449" s="23">
        <v>0.72471700000000006</v>
      </c>
      <c r="H3449" s="27" t="s">
        <v>253</v>
      </c>
      <c r="I3449" s="23">
        <f>IF(ISNUMBER(G3449),E3449*G3449,"")</f>
        <v>5.9499265700000012E-2</v>
      </c>
      <c r="J3449" s="24"/>
      <c r="K3449" s="19"/>
      <c r="L3449" s="174">
        <v>0</v>
      </c>
    </row>
    <row r="3450" spans="1:12" ht="39" hidden="1" thickBot="1" x14ac:dyDescent="0.3">
      <c r="A3450" s="181"/>
      <c r="B3450" s="179"/>
      <c r="C3450" s="25" t="s">
        <v>254</v>
      </c>
      <c r="D3450" s="25" t="s">
        <v>255</v>
      </c>
      <c r="E3450" s="26">
        <f>E3443*20</f>
        <v>1.6420000000000001</v>
      </c>
      <c r="F3450" s="27" t="s">
        <v>17</v>
      </c>
      <c r="G3450" s="46">
        <v>1.0354733999999999</v>
      </c>
      <c r="H3450" s="27" t="s">
        <v>256</v>
      </c>
      <c r="I3450" s="46">
        <f>IF(ISNUMBER(G3450),E3450*G3450,"")</f>
        <v>1.7002473227999999</v>
      </c>
      <c r="J3450" s="69"/>
      <c r="K3450" s="70"/>
      <c r="L3450" s="174">
        <v>0</v>
      </c>
    </row>
    <row r="3451" spans="1:12" ht="15.75" hidden="1" thickBot="1" x14ac:dyDescent="0.3">
      <c r="A3451" s="181"/>
      <c r="B3451" s="179"/>
      <c r="C3451" s="25"/>
      <c r="D3451" s="25"/>
      <c r="E3451" s="26"/>
      <c r="F3451" s="27"/>
      <c r="G3451" s="46" t="s">
        <v>1079</v>
      </c>
      <c r="H3451" s="27"/>
      <c r="I3451" s="46" t="str">
        <f>IF(ISNUMBER(G3451),E3451*G3451,"")</f>
        <v/>
      </c>
      <c r="J3451" s="69"/>
      <c r="K3451" s="70"/>
      <c r="L3451" s="174">
        <v>0</v>
      </c>
    </row>
    <row r="3452" spans="1:12" ht="15.75" hidden="1" thickBot="1" x14ac:dyDescent="0.3">
      <c r="A3452" s="181"/>
      <c r="B3452" s="179"/>
      <c r="C3452" s="39" t="s">
        <v>1990</v>
      </c>
      <c r="D3452" s="25"/>
      <c r="E3452" s="26"/>
      <c r="F3452" s="27"/>
      <c r="G3452" s="46" t="s">
        <v>1079</v>
      </c>
      <c r="H3452" s="27"/>
      <c r="I3452" s="46" t="str">
        <f>IF(ISNUMBER(G3452),E3452*G3452,"")</f>
        <v/>
      </c>
      <c r="J3452" s="69"/>
      <c r="K3452" s="70"/>
      <c r="L3452" s="174">
        <v>0</v>
      </c>
    </row>
    <row r="3453" spans="1:12" ht="15.75" hidden="1" thickBot="1" x14ac:dyDescent="0.3">
      <c r="A3453" s="181"/>
      <c r="B3453" s="179"/>
      <c r="C3453" s="25"/>
      <c r="D3453" s="25"/>
      <c r="E3453" s="26"/>
      <c r="F3453" s="27"/>
      <c r="G3453" s="46" t="s">
        <v>1079</v>
      </c>
      <c r="H3453" s="27"/>
      <c r="I3453" s="46" t="str">
        <f>IF(ISNUMBER(G3453),E3453*G3453,"")</f>
        <v/>
      </c>
      <c r="J3453" s="69"/>
      <c r="K3453" s="70"/>
      <c r="L3453" s="174">
        <v>0</v>
      </c>
    </row>
    <row r="3454" spans="1:12" ht="15.75" hidden="1" thickBot="1" x14ac:dyDescent="0.3">
      <c r="A3454" s="180" t="s">
        <v>1991</v>
      </c>
      <c r="B3454" s="178" t="str">
        <f>INDEX(Orçamentária!A:B,MATCH(Composições!A3454,Orçamentária!A:A,0),2)</f>
        <v>Fixadores metálicos para rochas ornamentais (Modelo Edifício Principal, peça inferior)</v>
      </c>
      <c r="C3454" s="30"/>
      <c r="D3454" s="13" t="str">
        <f>TRIM(INDEX(Orçamentária!C:C,MATCH(Composições!A3454,Orçamentária!A:A,0),1))</f>
        <v>un</v>
      </c>
      <c r="E3454" s="14"/>
      <c r="F3454" s="15" t="s">
        <v>17</v>
      </c>
      <c r="G3454" s="40" t="s">
        <v>1079</v>
      </c>
      <c r="H3454" s="16"/>
      <c r="I3454" s="16" t="str">
        <f>IF(ISNUMBER(G3454),E3454*G3454,"")</f>
        <v/>
      </c>
      <c r="J3454" s="17"/>
      <c r="K3454" s="18"/>
      <c r="L3454" s="174">
        <v>0</v>
      </c>
    </row>
    <row r="3455" spans="1:12" ht="15.75" hidden="1" thickBot="1" x14ac:dyDescent="0.3">
      <c r="A3455" s="181"/>
      <c r="B3455" s="179"/>
      <c r="C3455" s="20"/>
      <c r="D3455" s="20"/>
      <c r="E3455" s="21"/>
      <c r="F3455" s="22"/>
      <c r="G3455" s="46" t="s">
        <v>1079</v>
      </c>
      <c r="H3455" s="1"/>
      <c r="I3455" s="46" t="str">
        <f>IF(ISNUMBER(G3455),E3455*G3455,"")</f>
        <v/>
      </c>
      <c r="J3455" s="69"/>
      <c r="K3455" s="70"/>
      <c r="L3455" s="174">
        <v>0</v>
      </c>
    </row>
    <row r="3456" spans="1:12" ht="15.75" hidden="1" thickBot="1" x14ac:dyDescent="0.3">
      <c r="A3456" s="181"/>
      <c r="B3456" s="179"/>
      <c r="C3456" s="25" t="s">
        <v>36</v>
      </c>
      <c r="D3456" s="25" t="s">
        <v>21</v>
      </c>
      <c r="E3456" s="26">
        <f>0.1+0.1</f>
        <v>0.2</v>
      </c>
      <c r="F3456" s="27" t="s">
        <v>17</v>
      </c>
      <c r="G3456" s="46">
        <v>19.142499999999998</v>
      </c>
      <c r="H3456" s="27" t="s">
        <v>37</v>
      </c>
      <c r="I3456" s="46">
        <f>IF(ISNUMBER(G3456),E3456*G3456,"")</f>
        <v>3.8285</v>
      </c>
      <c r="J3456" s="28">
        <f>SUM(I3456:I3461)</f>
        <v>6.8275511296999998</v>
      </c>
      <c r="K3456" s="29"/>
      <c r="L3456" s="174">
        <v>0</v>
      </c>
    </row>
    <row r="3457" spans="1:12" ht="15.75" hidden="1" thickBot="1" x14ac:dyDescent="0.3">
      <c r="A3457" s="181"/>
      <c r="B3457" s="179"/>
      <c r="C3457" s="25" t="s">
        <v>38</v>
      </c>
      <c r="D3457" s="25" t="s">
        <v>21</v>
      </c>
      <c r="E3457" s="26">
        <f>0.1+0.1</f>
        <v>0.2</v>
      </c>
      <c r="F3457" s="27" t="s">
        <v>17</v>
      </c>
      <c r="G3457" s="46">
        <v>14.325999999999999</v>
      </c>
      <c r="H3457" s="27" t="s">
        <v>39</v>
      </c>
      <c r="I3457" s="46">
        <f>IF(ISNUMBER(G3457),E3457*G3457,"")</f>
        <v>2.8651999999999997</v>
      </c>
      <c r="J3457" s="69"/>
      <c r="K3457" s="70"/>
      <c r="L3457" s="174">
        <v>0</v>
      </c>
    </row>
    <row r="3458" spans="1:12" ht="15.75" hidden="1" thickBot="1" x14ac:dyDescent="0.3">
      <c r="A3458" s="181"/>
      <c r="B3458" s="179"/>
      <c r="C3458" s="25" t="s">
        <v>1850</v>
      </c>
      <c r="D3458" s="25" t="s">
        <v>305</v>
      </c>
      <c r="E3458" s="26">
        <f>0.016*2</f>
        <v>3.2000000000000001E-2</v>
      </c>
      <c r="F3458" s="27" t="s">
        <v>17</v>
      </c>
      <c r="G3458" s="46">
        <v>0</v>
      </c>
      <c r="H3458" s="27" t="s">
        <v>4600</v>
      </c>
      <c r="I3458" s="46">
        <f>IF(ISNUMBER(G3458),E3458*G3458,"")</f>
        <v>0</v>
      </c>
      <c r="J3458" s="69"/>
      <c r="K3458" s="70"/>
      <c r="L3458" s="174">
        <v>0</v>
      </c>
    </row>
    <row r="3459" spans="1:12" ht="15.75" hidden="1" thickBot="1" x14ac:dyDescent="0.3">
      <c r="A3459" s="181"/>
      <c r="B3459" s="179"/>
      <c r="C3459" s="25" t="s">
        <v>1851</v>
      </c>
      <c r="D3459" s="25" t="s">
        <v>1852</v>
      </c>
      <c r="E3459" s="26">
        <f>0.1*2</f>
        <v>0.2</v>
      </c>
      <c r="F3459" s="27" t="s">
        <v>17</v>
      </c>
      <c r="G3459" s="46">
        <v>0</v>
      </c>
      <c r="H3459" s="27" t="s">
        <v>4600</v>
      </c>
      <c r="I3459" s="46">
        <f>IF(ISNUMBER(G3459),E3459*G3459,"")</f>
        <v>0</v>
      </c>
      <c r="J3459" s="69"/>
      <c r="K3459" s="70"/>
      <c r="L3459" s="174">
        <v>0</v>
      </c>
    </row>
    <row r="3460" spans="1:12" ht="15.75" hidden="1" thickBot="1" x14ac:dyDescent="0.3">
      <c r="A3460" s="181"/>
      <c r="B3460" s="179"/>
      <c r="C3460" s="25" t="s">
        <v>1992</v>
      </c>
      <c r="D3460" s="25" t="s">
        <v>305</v>
      </c>
      <c r="E3460" s="26">
        <v>1</v>
      </c>
      <c r="F3460" s="27" t="s">
        <v>17</v>
      </c>
      <c r="G3460" s="46" t="s">
        <v>1079</v>
      </c>
      <c r="H3460" s="27" t="s">
        <v>33</v>
      </c>
      <c r="I3460" s="46" t="str">
        <f>IF(ISNUMBER(G3460),E3460*G3460,"")</f>
        <v/>
      </c>
      <c r="J3460" s="69"/>
      <c r="K3460" s="70"/>
      <c r="L3460" s="174">
        <v>0</v>
      </c>
    </row>
    <row r="3461" spans="1:12" ht="39" hidden="1" thickBot="1" x14ac:dyDescent="0.3">
      <c r="A3461" s="181"/>
      <c r="B3461" s="179"/>
      <c r="C3461" s="25" t="s">
        <v>1853</v>
      </c>
      <c r="D3461" s="25" t="s">
        <v>228</v>
      </c>
      <c r="E3461" s="26">
        <f>ROUND(0.15*0.05*0.05,4)</f>
        <v>4.0000000000000002E-4</v>
      </c>
      <c r="F3461" s="27" t="s">
        <v>17</v>
      </c>
      <c r="G3461" s="46">
        <v>334.62782424999995</v>
      </c>
      <c r="H3461" s="27" t="s">
        <v>1854</v>
      </c>
      <c r="I3461" s="46">
        <f>IF(ISNUMBER(G3461),E3461*G3461,"")</f>
        <v>0.13385112969999999</v>
      </c>
      <c r="J3461" s="69"/>
      <c r="K3461" s="70"/>
      <c r="L3461" s="174">
        <v>0</v>
      </c>
    </row>
    <row r="3462" spans="1:12" ht="15.75" hidden="1" thickBot="1" x14ac:dyDescent="0.3">
      <c r="A3462" s="181"/>
      <c r="B3462" s="179"/>
      <c r="C3462" s="25"/>
      <c r="D3462" s="25"/>
      <c r="E3462" s="26"/>
      <c r="F3462" s="27"/>
      <c r="G3462" s="46" t="s">
        <v>1079</v>
      </c>
      <c r="H3462" s="1"/>
      <c r="I3462" s="46" t="str">
        <f>IF(ISNUMBER(G3462),E3462*G3462,"")</f>
        <v/>
      </c>
      <c r="J3462" s="69"/>
      <c r="K3462" s="70"/>
      <c r="L3462" s="174">
        <v>0</v>
      </c>
    </row>
    <row r="3463" spans="1:12" ht="15.75" hidden="1" thickBot="1" x14ac:dyDescent="0.3">
      <c r="A3463" s="181"/>
      <c r="B3463" s="179"/>
      <c r="C3463" s="171" t="s">
        <v>1855</v>
      </c>
      <c r="D3463" s="25"/>
      <c r="E3463" s="26"/>
      <c r="F3463" s="27"/>
      <c r="G3463" s="46" t="s">
        <v>1079</v>
      </c>
      <c r="H3463" s="1"/>
      <c r="I3463" s="46" t="str">
        <f>IF(ISNUMBER(G3463),E3463*G3463,"")</f>
        <v/>
      </c>
      <c r="J3463" s="69"/>
      <c r="K3463" s="70"/>
      <c r="L3463" s="174">
        <v>0</v>
      </c>
    </row>
    <row r="3464" spans="1:12" ht="15.75" hidden="1" thickBot="1" x14ac:dyDescent="0.3">
      <c r="A3464" s="182"/>
      <c r="B3464" s="183"/>
      <c r="C3464" s="47"/>
      <c r="D3464" s="47"/>
      <c r="E3464" s="60"/>
      <c r="F3464" s="61"/>
      <c r="G3464" s="73" t="s">
        <v>1079</v>
      </c>
      <c r="H3464" s="74"/>
      <c r="I3464" s="73" t="str">
        <f>IF(ISNUMBER(G3464),E3464*G3464,"")</f>
        <v/>
      </c>
      <c r="J3464" s="75"/>
      <c r="K3464" s="70"/>
      <c r="L3464" s="174">
        <v>0</v>
      </c>
    </row>
    <row r="3465" spans="1:12" ht="15.75" hidden="1" thickBot="1" x14ac:dyDescent="0.3">
      <c r="A3465" s="180" t="s">
        <v>1993</v>
      </c>
      <c r="B3465" s="178" t="str">
        <f>INDEX(Orçamentária!A:B,MATCH(Composições!A3465,Orçamentária!A:A,0),2)</f>
        <v>Locação de Container - Escritório</v>
      </c>
      <c r="C3465" s="30"/>
      <c r="D3465" s="13" t="str">
        <f>TRIM(INDEX(Orçamentária!C:C,MATCH(Composições!A3465,Orçamentária!A:A,0),1))</f>
        <v>mês</v>
      </c>
      <c r="E3465" s="14"/>
      <c r="F3465" s="15" t="s">
        <v>1994</v>
      </c>
      <c r="G3465" s="40" t="s">
        <v>1079</v>
      </c>
      <c r="H3465" s="16"/>
      <c r="I3465" s="16" t="str">
        <f>IF(ISNUMBER(G3465),E3465*G3465,"")</f>
        <v/>
      </c>
      <c r="J3465" s="17"/>
      <c r="K3465" s="18"/>
      <c r="L3465" s="174">
        <v>0</v>
      </c>
    </row>
    <row r="3466" spans="1:12" ht="15.75" hidden="1" thickBot="1" x14ac:dyDescent="0.3">
      <c r="A3466" s="186"/>
      <c r="B3466" s="179"/>
      <c r="C3466" s="20"/>
      <c r="D3466" s="20"/>
      <c r="E3466" s="21"/>
      <c r="F3466" s="22"/>
      <c r="G3466" s="46" t="s">
        <v>1079</v>
      </c>
      <c r="H3466" s="20"/>
      <c r="I3466" s="46" t="str">
        <f>IF(ISNUMBER(G3466),E3466*G3466,"")</f>
        <v/>
      </c>
      <c r="J3466" s="69"/>
      <c r="K3466" s="70"/>
      <c r="L3466" s="174">
        <v>0</v>
      </c>
    </row>
    <row r="3467" spans="1:12" ht="39" hidden="1" thickBot="1" x14ac:dyDescent="0.3">
      <c r="A3467" s="186"/>
      <c r="B3467" s="179"/>
      <c r="C3467" s="25" t="s">
        <v>1995</v>
      </c>
      <c r="D3467" s="41" t="s">
        <v>263</v>
      </c>
      <c r="E3467" s="26">
        <v>1</v>
      </c>
      <c r="F3467" s="27" t="s">
        <v>1994</v>
      </c>
      <c r="G3467" s="46">
        <v>495.9</v>
      </c>
      <c r="H3467" s="27" t="s">
        <v>1994</v>
      </c>
      <c r="I3467" s="46">
        <f>IF(ISNUMBER(G3467),E3467*G3467,"")</f>
        <v>495.9</v>
      </c>
      <c r="J3467" s="28">
        <f>SUM(I3467:I3467)</f>
        <v>495.9</v>
      </c>
      <c r="K3467" s="29"/>
      <c r="L3467" s="174">
        <v>0</v>
      </c>
    </row>
    <row r="3468" spans="1:12" ht="15.75" hidden="1" thickBot="1" x14ac:dyDescent="0.3">
      <c r="A3468" s="187"/>
      <c r="B3468" s="183"/>
      <c r="C3468" s="25"/>
      <c r="D3468" s="25"/>
      <c r="E3468" s="26"/>
      <c r="F3468" s="27"/>
      <c r="G3468" s="46" t="s">
        <v>1079</v>
      </c>
      <c r="H3468" s="1"/>
      <c r="I3468" s="46" t="str">
        <f>IF(ISNUMBER(G3468),E3468*G3468,"")</f>
        <v/>
      </c>
      <c r="J3468" s="69"/>
      <c r="K3468" s="70"/>
      <c r="L3468" s="174">
        <v>0</v>
      </c>
    </row>
    <row r="3469" spans="1:12" ht="15.75" hidden="1" thickBot="1" x14ac:dyDescent="0.3">
      <c r="A3469" s="180" t="s">
        <v>1996</v>
      </c>
      <c r="B3469" s="178" t="str">
        <f>INDEX(Orçamentária!A:B,MATCH(Composições!A3469,Orçamentária!A:A,0),2)</f>
        <v>Abertura/fechamento de rasgo em concreto</v>
      </c>
      <c r="C3469" s="30"/>
      <c r="D3469" s="13" t="str">
        <f>TRIM(INDEX(Orçamentária!C:C,MATCH(Composições!A3469,Orçamentária!A:A,0),1))</f>
        <v>m</v>
      </c>
      <c r="E3469" s="14"/>
      <c r="F3469" s="15" t="s">
        <v>1997</v>
      </c>
      <c r="G3469" s="31" t="s">
        <v>1079</v>
      </c>
      <c r="H3469" s="16"/>
      <c r="I3469" s="16" t="str">
        <f>IF(ISNUMBER(G3469),E3469*G3469,"")</f>
        <v/>
      </c>
      <c r="J3469" s="17"/>
      <c r="K3469" s="18"/>
      <c r="L3469" s="174">
        <v>0</v>
      </c>
    </row>
    <row r="3470" spans="1:12" ht="15.75" hidden="1" thickBot="1" x14ac:dyDescent="0.3">
      <c r="A3470" s="181"/>
      <c r="B3470" s="179"/>
      <c r="C3470" s="20"/>
      <c r="D3470" s="20"/>
      <c r="E3470" s="21"/>
      <c r="F3470" s="22"/>
      <c r="G3470" s="32" t="s">
        <v>1079</v>
      </c>
      <c r="H3470" s="20"/>
      <c r="I3470" s="19" t="str">
        <f>IF(ISNUMBER(G3470),E3470*G3470,"")</f>
        <v/>
      </c>
      <c r="J3470" s="24"/>
      <c r="K3470" s="19"/>
      <c r="L3470" s="174">
        <v>0</v>
      </c>
    </row>
    <row r="3471" spans="1:12" ht="26.25" hidden="1" thickBot="1" x14ac:dyDescent="0.3">
      <c r="A3471" s="181"/>
      <c r="B3471" s="179"/>
      <c r="C3471" s="25" t="s">
        <v>1998</v>
      </c>
      <c r="D3471" s="25" t="s">
        <v>1691</v>
      </c>
      <c r="E3471" s="26">
        <v>0.183</v>
      </c>
      <c r="F3471" s="27" t="s">
        <v>1999</v>
      </c>
      <c r="G3471" s="19">
        <v>17.793499999999998</v>
      </c>
      <c r="H3471" s="27" t="s">
        <v>60</v>
      </c>
      <c r="I3471" s="19">
        <f>IF(ISNUMBER(G3471),E3471*G3471,"")</f>
        <v>3.2562104999999995</v>
      </c>
      <c r="J3471" s="28">
        <f>SUM(I3471:I3477)</f>
        <v>31.233938583599997</v>
      </c>
      <c r="K3471" s="29"/>
      <c r="L3471" s="174">
        <v>0</v>
      </c>
    </row>
    <row r="3472" spans="1:12" ht="26.25" hidden="1" thickBot="1" x14ac:dyDescent="0.3">
      <c r="A3472" s="181"/>
      <c r="B3472" s="179"/>
      <c r="C3472" s="25" t="s">
        <v>2000</v>
      </c>
      <c r="D3472" s="25" t="s">
        <v>1694</v>
      </c>
      <c r="E3472" s="26">
        <v>0.40100000000000002</v>
      </c>
      <c r="F3472" s="27" t="s">
        <v>1999</v>
      </c>
      <c r="G3472" s="19">
        <v>16.482500000000002</v>
      </c>
      <c r="H3472" s="27" t="s">
        <v>63</v>
      </c>
      <c r="I3472" s="19">
        <f>IF(ISNUMBER(G3472),E3472*G3472,"")</f>
        <v>6.6094825000000013</v>
      </c>
      <c r="J3472" s="24"/>
      <c r="K3472" s="19"/>
      <c r="L3472" s="174">
        <v>0</v>
      </c>
    </row>
    <row r="3473" spans="1:12" ht="26.25" hidden="1" thickBot="1" x14ac:dyDescent="0.3">
      <c r="A3473" s="181"/>
      <c r="B3473" s="179"/>
      <c r="C3473" s="25" t="s">
        <v>224</v>
      </c>
      <c r="D3473" s="25" t="s">
        <v>21</v>
      </c>
      <c r="E3473" s="26">
        <v>9.0999999999999998E-2</v>
      </c>
      <c r="F3473" s="27" t="s">
        <v>1999</v>
      </c>
      <c r="G3473" s="19">
        <v>14.772500000000001</v>
      </c>
      <c r="H3473" s="27" t="s">
        <v>226</v>
      </c>
      <c r="I3473" s="19">
        <f>IF(ISNUMBER(G3473),E3473*G3473,"")</f>
        <v>1.3442975000000001</v>
      </c>
      <c r="J3473" s="24"/>
      <c r="K3473" s="19"/>
      <c r="L3473" s="174">
        <v>0</v>
      </c>
    </row>
    <row r="3474" spans="1:12" ht="15.75" hidden="1" thickBot="1" x14ac:dyDescent="0.3">
      <c r="A3474" s="181"/>
      <c r="B3474" s="179"/>
      <c r="C3474" s="25" t="s">
        <v>70</v>
      </c>
      <c r="D3474" s="36" t="s">
        <v>21</v>
      </c>
      <c r="E3474" s="26">
        <v>0.58299999999999996</v>
      </c>
      <c r="F3474" s="27" t="s">
        <v>1999</v>
      </c>
      <c r="G3474" s="19">
        <v>18.743500000000001</v>
      </c>
      <c r="H3474" s="27" t="s">
        <v>71</v>
      </c>
      <c r="I3474" s="19">
        <f>IF(ISNUMBER(G3474),E3474*G3474,"")</f>
        <v>10.9274605</v>
      </c>
      <c r="J3474" s="24"/>
      <c r="K3474" s="19"/>
      <c r="L3474" s="174">
        <v>0</v>
      </c>
    </row>
    <row r="3475" spans="1:12" ht="26.25" hidden="1" thickBot="1" x14ac:dyDescent="0.3">
      <c r="A3475" s="181"/>
      <c r="B3475" s="179"/>
      <c r="C3475" s="25" t="s">
        <v>224</v>
      </c>
      <c r="D3475" s="25" t="s">
        <v>21</v>
      </c>
      <c r="E3475" s="26">
        <v>3.7999999999999999E-2</v>
      </c>
      <c r="F3475" s="27" t="s">
        <v>2001</v>
      </c>
      <c r="G3475" s="19">
        <v>14.772500000000001</v>
      </c>
      <c r="H3475" s="27" t="s">
        <v>226</v>
      </c>
      <c r="I3475" s="19">
        <f>IF(ISNUMBER(G3475),E3475*G3475,"")</f>
        <v>0.56135500000000005</v>
      </c>
      <c r="J3475" s="24"/>
      <c r="K3475" s="19"/>
      <c r="L3475" s="174">
        <v>0</v>
      </c>
    </row>
    <row r="3476" spans="1:12" ht="15.75" hidden="1" thickBot="1" x14ac:dyDescent="0.3">
      <c r="A3476" s="181"/>
      <c r="B3476" s="179"/>
      <c r="C3476" s="25" t="s">
        <v>70</v>
      </c>
      <c r="D3476" s="36" t="s">
        <v>21</v>
      </c>
      <c r="E3476" s="26">
        <v>0.27200000000000002</v>
      </c>
      <c r="F3476" s="27" t="s">
        <v>2001</v>
      </c>
      <c r="G3476" s="19">
        <v>18.743500000000001</v>
      </c>
      <c r="H3476" s="27" t="s">
        <v>71</v>
      </c>
      <c r="I3476" s="19">
        <f>IF(ISNUMBER(G3476),E3476*G3476,"")</f>
        <v>5.0982320000000003</v>
      </c>
      <c r="J3476" s="24"/>
      <c r="K3476" s="19"/>
      <c r="L3476" s="174">
        <v>0</v>
      </c>
    </row>
    <row r="3477" spans="1:12" ht="26.25" hidden="1" thickBot="1" x14ac:dyDescent="0.3">
      <c r="A3477" s="181"/>
      <c r="B3477" s="179"/>
      <c r="C3477" s="25" t="s">
        <v>227</v>
      </c>
      <c r="D3477" s="25" t="s">
        <v>228</v>
      </c>
      <c r="E3477" s="26">
        <v>8.0000000000000002E-3</v>
      </c>
      <c r="F3477" s="27" t="s">
        <v>2001</v>
      </c>
      <c r="G3477" s="23">
        <v>429.61257294999996</v>
      </c>
      <c r="H3477" s="27" t="s">
        <v>229</v>
      </c>
      <c r="I3477" s="23">
        <f>IF(ISNUMBER(G3477),E3477*G3477,"")</f>
        <v>3.4369005835999999</v>
      </c>
      <c r="J3477" s="24"/>
      <c r="K3477" s="19"/>
      <c r="L3477" s="174">
        <v>0</v>
      </c>
    </row>
    <row r="3478" spans="1:12" ht="15.75" hidden="1" thickBot="1" x14ac:dyDescent="0.3">
      <c r="A3478" s="182"/>
      <c r="B3478" s="183"/>
      <c r="C3478" s="25"/>
      <c r="D3478" s="25"/>
      <c r="E3478" s="26"/>
      <c r="F3478" s="27"/>
      <c r="G3478" s="19" t="s">
        <v>1079</v>
      </c>
      <c r="H3478" s="27"/>
      <c r="I3478" s="19" t="str">
        <f>IF(ISNUMBER(G3478),E3478*G3478,"")</f>
        <v/>
      </c>
      <c r="J3478" s="24"/>
      <c r="K3478" s="19"/>
      <c r="L3478" s="174">
        <v>0</v>
      </c>
    </row>
    <row r="3479" spans="1:12" ht="15.75" hidden="1" thickBot="1" x14ac:dyDescent="0.3">
      <c r="A3479" s="180" t="s">
        <v>2002</v>
      </c>
      <c r="B3479" s="178" t="str">
        <f>INDEX(Orçamentária!A:B,MATCH(Composições!A3479,Orçamentária!A:A,0),2)</f>
        <v>Recomposição de rejuntamento sobre revestimentos</v>
      </c>
      <c r="C3479" s="30"/>
      <c r="D3479" s="13" t="str">
        <f>TRIM(INDEX(Orçamentária!C:C,MATCH(Composições!A3479,Orçamentária!A:A,0),1))</f>
        <v>m2</v>
      </c>
      <c r="E3479" s="14"/>
      <c r="F3479" s="71" t="s">
        <v>1893</v>
      </c>
      <c r="G3479" s="40" t="s">
        <v>1079</v>
      </c>
      <c r="H3479" s="16"/>
      <c r="I3479" s="16" t="str">
        <f>IF(ISNUMBER(G3479),E3479*G3479,"")</f>
        <v/>
      </c>
      <c r="J3479" s="17"/>
      <c r="K3479" s="18"/>
      <c r="L3479" s="174">
        <v>0</v>
      </c>
    </row>
    <row r="3480" spans="1:12" ht="15.75" hidden="1" thickBot="1" x14ac:dyDescent="0.3">
      <c r="A3480" s="186"/>
      <c r="B3480" s="179"/>
      <c r="C3480" s="20"/>
      <c r="D3480" s="20"/>
      <c r="E3480" s="21"/>
      <c r="F3480" s="22"/>
      <c r="G3480" s="46" t="s">
        <v>1079</v>
      </c>
      <c r="H3480" s="20"/>
      <c r="I3480" s="46" t="str">
        <f>IF(ISNUMBER(G3480),E3480*G3480,"")</f>
        <v/>
      </c>
      <c r="J3480" s="69"/>
      <c r="K3480" s="70"/>
      <c r="L3480" s="174">
        <v>0</v>
      </c>
    </row>
    <row r="3481" spans="1:12" ht="15.75" hidden="1" thickBot="1" x14ac:dyDescent="0.3">
      <c r="A3481" s="186"/>
      <c r="B3481" s="179"/>
      <c r="C3481" s="25" t="s">
        <v>457</v>
      </c>
      <c r="D3481" s="41" t="s">
        <v>75</v>
      </c>
      <c r="E3481" s="26">
        <v>0.25900000000000001</v>
      </c>
      <c r="F3481" s="26" t="s">
        <v>1893</v>
      </c>
      <c r="G3481" s="46">
        <v>2.4129999999999998</v>
      </c>
      <c r="H3481" s="27" t="s">
        <v>458</v>
      </c>
      <c r="I3481" s="46">
        <f>IF(ISNUMBER(G3481),E3481*G3481,"")</f>
        <v>0.62496699999999994</v>
      </c>
      <c r="J3481" s="28">
        <f>SUM(I3481:I3482)</f>
        <v>7.7879669999999992</v>
      </c>
      <c r="K3481" s="29"/>
      <c r="L3481" s="174">
        <v>0</v>
      </c>
    </row>
    <row r="3482" spans="1:12" ht="15.75" hidden="1" thickBot="1" x14ac:dyDescent="0.3">
      <c r="A3482" s="186"/>
      <c r="B3482" s="179"/>
      <c r="C3482" s="25" t="s">
        <v>38</v>
      </c>
      <c r="D3482" s="25" t="s">
        <v>21</v>
      </c>
      <c r="E3482" s="26">
        <f>0.25*2</f>
        <v>0.5</v>
      </c>
      <c r="F3482" s="26" t="s">
        <v>1894</v>
      </c>
      <c r="G3482" s="46">
        <v>14.325999999999999</v>
      </c>
      <c r="H3482" s="27" t="s">
        <v>39</v>
      </c>
      <c r="I3482" s="46">
        <f>IF(ISNUMBER(G3482),E3482*G3482,"")</f>
        <v>7.1629999999999994</v>
      </c>
      <c r="J3482" s="69"/>
      <c r="K3482" s="70"/>
      <c r="L3482" s="174">
        <v>0</v>
      </c>
    </row>
    <row r="3483" spans="1:12" ht="15.75" hidden="1" thickBot="1" x14ac:dyDescent="0.3">
      <c r="A3483" s="187"/>
      <c r="B3483" s="183"/>
      <c r="C3483" s="25"/>
      <c r="D3483" s="25"/>
      <c r="E3483" s="26"/>
      <c r="F3483" s="27"/>
      <c r="G3483" s="46" t="s">
        <v>1079</v>
      </c>
      <c r="H3483" s="27"/>
      <c r="I3483" s="46" t="str">
        <f>IF(ISNUMBER(G3483),E3483*G3483,"")</f>
        <v/>
      </c>
      <c r="J3483" s="69"/>
      <c r="K3483" s="70"/>
      <c r="L3483" s="174">
        <v>0</v>
      </c>
    </row>
    <row r="3484" spans="1:12" ht="15.75" hidden="1" thickBot="1" x14ac:dyDescent="0.3">
      <c r="A3484" s="180" t="s">
        <v>2003</v>
      </c>
      <c r="B3484" s="178" t="str">
        <f>INDEX(Orçamentária!A:B,MATCH(Composições!A3484,Orçamentária!A:A,0),2)</f>
        <v>Impermeabilização de revestimentos em pedra</v>
      </c>
      <c r="C3484" s="30"/>
      <c r="D3484" s="13" t="str">
        <f>TRIM(INDEX(Orçamentária!C:C,MATCH(Composições!A3484,Orçamentária!A:A,0),1))</f>
        <v>m2</v>
      </c>
      <c r="E3484" s="14"/>
      <c r="F3484" s="15" t="s">
        <v>17</v>
      </c>
      <c r="G3484" s="40" t="s">
        <v>1079</v>
      </c>
      <c r="H3484" s="16"/>
      <c r="I3484" s="16" t="str">
        <f>IF(ISNUMBER(G3484),E3484*G3484,"")</f>
        <v/>
      </c>
      <c r="J3484" s="17"/>
      <c r="K3484" s="18"/>
      <c r="L3484" s="174">
        <v>0</v>
      </c>
    </row>
    <row r="3485" spans="1:12" ht="15.75" hidden="1" thickBot="1" x14ac:dyDescent="0.3">
      <c r="A3485" s="186"/>
      <c r="B3485" s="179"/>
      <c r="C3485" s="20"/>
      <c r="D3485" s="20"/>
      <c r="E3485" s="21"/>
      <c r="F3485" s="22"/>
      <c r="G3485" s="46" t="s">
        <v>1079</v>
      </c>
      <c r="H3485" s="20"/>
      <c r="I3485" s="46" t="str">
        <f>IF(ISNUMBER(G3485),E3485*G3485,"")</f>
        <v/>
      </c>
      <c r="J3485" s="69"/>
      <c r="K3485" s="70"/>
      <c r="L3485" s="174">
        <v>0</v>
      </c>
    </row>
    <row r="3486" spans="1:12" ht="15.75" hidden="1" thickBot="1" x14ac:dyDescent="0.3">
      <c r="A3486" s="186"/>
      <c r="B3486" s="179"/>
      <c r="C3486" s="25" t="s">
        <v>2004</v>
      </c>
      <c r="D3486" s="41" t="s">
        <v>208</v>
      </c>
      <c r="E3486" s="26">
        <f>ROUND(1/12,4)</f>
        <v>8.3299999999999999E-2</v>
      </c>
      <c r="F3486" s="27" t="s">
        <v>17</v>
      </c>
      <c r="G3486" s="46" t="s">
        <v>1079</v>
      </c>
      <c r="H3486" s="27" t="s">
        <v>33</v>
      </c>
      <c r="I3486" s="46" t="str">
        <f>IF(ISNUMBER(G3486),E3486*G3486,"")</f>
        <v/>
      </c>
      <c r="J3486" s="28">
        <f>SUM(I3486:I3488)</f>
        <v>15.783299999999997</v>
      </c>
      <c r="K3486" s="29"/>
      <c r="L3486" s="174">
        <v>0</v>
      </c>
    </row>
    <row r="3487" spans="1:12" ht="15.75" hidden="1" thickBot="1" x14ac:dyDescent="0.3">
      <c r="A3487" s="186"/>
      <c r="B3487" s="179"/>
      <c r="C3487" s="25" t="s">
        <v>1831</v>
      </c>
      <c r="D3487" s="25" t="s">
        <v>1366</v>
      </c>
      <c r="E3487" s="26">
        <f>1.2/2</f>
        <v>0.6</v>
      </c>
      <c r="F3487" s="27" t="s">
        <v>17</v>
      </c>
      <c r="G3487" s="46">
        <v>19.142499999999998</v>
      </c>
      <c r="H3487" s="27" t="s">
        <v>314</v>
      </c>
      <c r="I3487" s="46">
        <f>IF(ISNUMBER(G3487),E3487*G3487,"")</f>
        <v>11.485499999999998</v>
      </c>
      <c r="J3487" s="69"/>
      <c r="K3487" s="70"/>
      <c r="L3487" s="174">
        <v>0</v>
      </c>
    </row>
    <row r="3488" spans="1:12" ht="15.75" hidden="1" thickBot="1" x14ac:dyDescent="0.3">
      <c r="A3488" s="186"/>
      <c r="B3488" s="179"/>
      <c r="C3488" s="25" t="s">
        <v>38</v>
      </c>
      <c r="D3488" s="25" t="s">
        <v>1366</v>
      </c>
      <c r="E3488" s="26">
        <f>0.6/2</f>
        <v>0.3</v>
      </c>
      <c r="F3488" s="27" t="s">
        <v>17</v>
      </c>
      <c r="G3488" s="46">
        <v>14.325999999999999</v>
      </c>
      <c r="H3488" s="27" t="s">
        <v>39</v>
      </c>
      <c r="I3488" s="46">
        <f>IF(ISNUMBER(G3488),E3488*G3488,"")</f>
        <v>4.2977999999999996</v>
      </c>
      <c r="J3488" s="69"/>
      <c r="K3488" s="70"/>
      <c r="L3488" s="174">
        <v>0</v>
      </c>
    </row>
    <row r="3489" spans="1:12" ht="15.75" hidden="1" thickBot="1" x14ac:dyDescent="0.3">
      <c r="A3489" s="186"/>
      <c r="B3489" s="179"/>
      <c r="C3489" s="25"/>
      <c r="D3489" s="25"/>
      <c r="E3489" s="26"/>
      <c r="F3489" s="27"/>
      <c r="G3489" s="46" t="s">
        <v>1079</v>
      </c>
      <c r="H3489" s="27"/>
      <c r="I3489" s="46" t="str">
        <f>IF(ISNUMBER(G3489),E3489*G3489,"")</f>
        <v/>
      </c>
      <c r="J3489" s="69"/>
      <c r="K3489" s="70"/>
      <c r="L3489" s="174">
        <v>0</v>
      </c>
    </row>
    <row r="3490" spans="1:12" ht="26.25" hidden="1" thickBot="1" x14ac:dyDescent="0.3">
      <c r="A3490" s="186"/>
      <c r="B3490" s="179"/>
      <c r="C3490" s="39" t="s">
        <v>2005</v>
      </c>
      <c r="D3490" s="25"/>
      <c r="E3490" s="26"/>
      <c r="F3490" s="27"/>
      <c r="G3490" s="46" t="s">
        <v>1079</v>
      </c>
      <c r="H3490" s="27"/>
      <c r="I3490" s="46" t="str">
        <f>IF(ISNUMBER(G3490),E3490*G3490,"")</f>
        <v/>
      </c>
      <c r="J3490" s="69"/>
      <c r="K3490" s="70"/>
      <c r="L3490" s="174">
        <v>0</v>
      </c>
    </row>
    <row r="3491" spans="1:12" ht="15.75" hidden="1" thickBot="1" x14ac:dyDescent="0.3">
      <c r="A3491" s="186"/>
      <c r="B3491" s="179"/>
      <c r="C3491" s="39" t="s">
        <v>2006</v>
      </c>
      <c r="D3491" s="25"/>
      <c r="E3491" s="26"/>
      <c r="F3491" s="27"/>
      <c r="G3491" s="46" t="s">
        <v>1079</v>
      </c>
      <c r="H3491" s="27"/>
      <c r="I3491" s="46" t="str">
        <f>IF(ISNUMBER(G3491),E3491*G3491,"")</f>
        <v/>
      </c>
      <c r="J3491" s="69"/>
      <c r="K3491" s="70"/>
      <c r="L3491" s="174">
        <v>0</v>
      </c>
    </row>
    <row r="3492" spans="1:12" ht="15.75" hidden="1" thickBot="1" x14ac:dyDescent="0.3">
      <c r="A3492" s="187"/>
      <c r="B3492" s="183"/>
      <c r="C3492" s="25"/>
      <c r="D3492" s="25"/>
      <c r="E3492" s="26"/>
      <c r="F3492" s="27"/>
      <c r="G3492" s="46" t="s">
        <v>1079</v>
      </c>
      <c r="H3492" s="1"/>
      <c r="I3492" s="46" t="str">
        <f>IF(ISNUMBER(G3492),E3492*G3492,"")</f>
        <v/>
      </c>
      <c r="J3492" s="69"/>
      <c r="K3492" s="70"/>
      <c r="L3492" s="174">
        <v>0</v>
      </c>
    </row>
    <row r="3493" spans="1:12" ht="15.75" hidden="1" thickBot="1" x14ac:dyDescent="0.3">
      <c r="A3493" s="180" t="s">
        <v>2007</v>
      </c>
      <c r="B3493" s="178" t="str">
        <f>INDEX(Orçamentária!A:B,MATCH(Composições!A3493,Orçamentária!A:A,0),2)</f>
        <v>Piso vinílico semiflexível</v>
      </c>
      <c r="C3493" s="30"/>
      <c r="D3493" s="13" t="str">
        <f>TRIM(INDEX(Orçamentária!C:C,MATCH(Composições!A3493,Orçamentária!A:A,0),1))</f>
        <v>m2</v>
      </c>
      <c r="E3493" s="14"/>
      <c r="F3493" s="15" t="s">
        <v>2008</v>
      </c>
      <c r="G3493" s="40" t="s">
        <v>1079</v>
      </c>
      <c r="H3493" s="16"/>
      <c r="I3493" s="16" t="str">
        <f>IF(ISNUMBER(G3493),E3493*G3493,"")</f>
        <v/>
      </c>
      <c r="J3493" s="17"/>
      <c r="K3493" s="18"/>
      <c r="L3493" s="174">
        <v>0</v>
      </c>
    </row>
    <row r="3494" spans="1:12" ht="15.75" hidden="1" thickBot="1" x14ac:dyDescent="0.3">
      <c r="A3494" s="181"/>
      <c r="B3494" s="179"/>
      <c r="C3494" s="20"/>
      <c r="D3494" s="20"/>
      <c r="E3494" s="21"/>
      <c r="F3494" s="22"/>
      <c r="G3494" s="46" t="s">
        <v>1079</v>
      </c>
      <c r="H3494" s="1"/>
      <c r="I3494" s="46" t="str">
        <f>IF(ISNUMBER(G3494),E3494*G3494,"")</f>
        <v/>
      </c>
      <c r="J3494" s="69"/>
      <c r="K3494" s="70"/>
      <c r="L3494" s="174">
        <v>0</v>
      </c>
    </row>
    <row r="3495" spans="1:12" ht="15.75" hidden="1" thickBot="1" x14ac:dyDescent="0.3">
      <c r="A3495" s="181"/>
      <c r="B3495" s="179"/>
      <c r="C3495" s="25" t="s">
        <v>601</v>
      </c>
      <c r="D3495" s="25" t="s">
        <v>1629</v>
      </c>
      <c r="E3495" s="26">
        <v>9.5000000000000001E-2</v>
      </c>
      <c r="F3495" s="27" t="s">
        <v>2009</v>
      </c>
      <c r="G3495" s="46">
        <v>24.101500000000001</v>
      </c>
      <c r="H3495" s="27" t="s">
        <v>602</v>
      </c>
      <c r="I3495" s="46">
        <f>IF(ISNUMBER(G3495),E3495*G3495,"")</f>
        <v>2.2896425000000002</v>
      </c>
      <c r="J3495" s="28">
        <f>SUM(I3495:I3500)</f>
        <v>91.554492500000009</v>
      </c>
      <c r="K3495" s="29"/>
      <c r="L3495" s="174">
        <v>0</v>
      </c>
    </row>
    <row r="3496" spans="1:12" ht="26.25" hidden="1" thickBot="1" x14ac:dyDescent="0.3">
      <c r="A3496" s="181"/>
      <c r="B3496" s="179"/>
      <c r="C3496" s="25" t="s">
        <v>2010</v>
      </c>
      <c r="D3496" s="25" t="s">
        <v>1795</v>
      </c>
      <c r="E3496" s="26">
        <v>1.1100000000000001</v>
      </c>
      <c r="F3496" s="27" t="s">
        <v>2009</v>
      </c>
      <c r="G3496" s="46">
        <v>74.099999999999994</v>
      </c>
      <c r="H3496" s="27" t="s">
        <v>2011</v>
      </c>
      <c r="I3496" s="46">
        <f>IF(ISNUMBER(G3496),E3496*G3496,"")</f>
        <v>82.251000000000005</v>
      </c>
      <c r="J3496" s="69"/>
      <c r="K3496" s="70"/>
      <c r="L3496" s="174">
        <v>0</v>
      </c>
    </row>
    <row r="3497" spans="1:12" ht="15.75" hidden="1" thickBot="1" x14ac:dyDescent="0.3">
      <c r="A3497" s="181"/>
      <c r="B3497" s="179"/>
      <c r="C3497" s="25" t="s">
        <v>1389</v>
      </c>
      <c r="D3497" s="25" t="s">
        <v>1366</v>
      </c>
      <c r="E3497" s="26">
        <v>0.26100000000000001</v>
      </c>
      <c r="F3497" s="27" t="s">
        <v>2009</v>
      </c>
      <c r="G3497" s="46">
        <v>19.142499999999998</v>
      </c>
      <c r="H3497" s="27" t="s">
        <v>37</v>
      </c>
      <c r="I3497" s="46">
        <f>IF(ISNUMBER(G3497),E3497*G3497,"")</f>
        <v>4.9961924999999994</v>
      </c>
      <c r="J3497" s="69"/>
      <c r="K3497" s="70"/>
      <c r="L3497" s="174">
        <v>0</v>
      </c>
    </row>
    <row r="3498" spans="1:12" ht="15.75" hidden="1" thickBot="1" x14ac:dyDescent="0.3">
      <c r="A3498" s="181"/>
      <c r="B3498" s="179"/>
      <c r="C3498" s="25" t="s">
        <v>1367</v>
      </c>
      <c r="D3498" s="25" t="s">
        <v>1366</v>
      </c>
      <c r="E3498" s="26">
        <v>0.13</v>
      </c>
      <c r="F3498" s="27" t="s">
        <v>2009</v>
      </c>
      <c r="G3498" s="46">
        <v>14.325999999999999</v>
      </c>
      <c r="H3498" s="27" t="s">
        <v>39</v>
      </c>
      <c r="I3498" s="46">
        <f>IF(ISNUMBER(G3498),E3498*G3498,"")</f>
        <v>1.8623799999999999</v>
      </c>
      <c r="J3498" s="69"/>
      <c r="K3498" s="70"/>
      <c r="L3498" s="174">
        <v>0</v>
      </c>
    </row>
    <row r="3499" spans="1:12" ht="26.25" hidden="1" thickBot="1" x14ac:dyDescent="0.3">
      <c r="A3499" s="181"/>
      <c r="B3499" s="179"/>
      <c r="C3499" s="25" t="s">
        <v>2012</v>
      </c>
      <c r="D3499" s="25" t="s">
        <v>1691</v>
      </c>
      <c r="E3499" s="26">
        <v>2.5000000000000001E-2</v>
      </c>
      <c r="F3499" s="27" t="s">
        <v>2009</v>
      </c>
      <c r="G3499" s="46">
        <v>2.1755</v>
      </c>
      <c r="H3499" s="27" t="s">
        <v>2013</v>
      </c>
      <c r="I3499" s="46">
        <f>IF(ISNUMBER(G3499),E3499*G3499,"")</f>
        <v>5.4387500000000005E-2</v>
      </c>
      <c r="J3499" s="69"/>
      <c r="K3499" s="70"/>
      <c r="L3499" s="174">
        <v>0</v>
      </c>
    </row>
    <row r="3500" spans="1:12" ht="26.25" hidden="1" thickBot="1" x14ac:dyDescent="0.3">
      <c r="A3500" s="181"/>
      <c r="B3500" s="179"/>
      <c r="C3500" s="25" t="s">
        <v>2014</v>
      </c>
      <c r="D3500" s="25" t="s">
        <v>1694</v>
      </c>
      <c r="E3500" s="26">
        <v>0.23599999999999999</v>
      </c>
      <c r="F3500" s="27" t="s">
        <v>2009</v>
      </c>
      <c r="G3500" s="46">
        <v>0.42749999999999999</v>
      </c>
      <c r="H3500" s="27" t="s">
        <v>2015</v>
      </c>
      <c r="I3500" s="46">
        <f>IF(ISNUMBER(G3500),E3500*G3500,"")</f>
        <v>0.10088999999999999</v>
      </c>
      <c r="J3500" s="69"/>
      <c r="K3500" s="70"/>
      <c r="L3500" s="174">
        <v>0</v>
      </c>
    </row>
    <row r="3501" spans="1:12" ht="15.75" hidden="1" thickBot="1" x14ac:dyDescent="0.3">
      <c r="A3501" s="181"/>
      <c r="B3501" s="179"/>
      <c r="C3501" s="25"/>
      <c r="D3501" s="25"/>
      <c r="E3501" s="26"/>
      <c r="F3501" s="27"/>
      <c r="G3501" s="46" t="s">
        <v>1079</v>
      </c>
      <c r="H3501" s="1"/>
      <c r="I3501" s="46" t="str">
        <f>IF(ISNUMBER(G3501),E3501*G3501,"")</f>
        <v/>
      </c>
      <c r="J3501" s="69"/>
      <c r="K3501" s="70"/>
      <c r="L3501" s="174">
        <v>0</v>
      </c>
    </row>
    <row r="3502" spans="1:12" ht="15.75" hidden="1" thickBot="1" x14ac:dyDescent="0.3">
      <c r="A3502" s="180" t="s">
        <v>2016</v>
      </c>
      <c r="B3502" s="178" t="str">
        <f>INDEX(Orçamentária!A:B,MATCH(Composições!A3502,Orçamentária!A:A,0),2)</f>
        <v>Locação de Container - Sanitário</v>
      </c>
      <c r="C3502" s="30"/>
      <c r="D3502" s="13" t="str">
        <f>TRIM(INDEX(Orçamentária!C:C,MATCH(Composições!A3502,Orçamentária!A:A,0),1))</f>
        <v>mês</v>
      </c>
      <c r="E3502" s="14"/>
      <c r="F3502" s="15" t="s">
        <v>2017</v>
      </c>
      <c r="G3502" s="40" t="s">
        <v>1079</v>
      </c>
      <c r="H3502" s="16"/>
      <c r="I3502" s="16" t="str">
        <f>IF(ISNUMBER(G3502),E3502*G3502,"")</f>
        <v/>
      </c>
      <c r="J3502" s="17"/>
      <c r="K3502" s="18"/>
      <c r="L3502" s="174">
        <v>0</v>
      </c>
    </row>
    <row r="3503" spans="1:12" ht="15.75" hidden="1" thickBot="1" x14ac:dyDescent="0.3">
      <c r="A3503" s="186"/>
      <c r="B3503" s="179"/>
      <c r="C3503" s="20"/>
      <c r="D3503" s="20"/>
      <c r="E3503" s="21"/>
      <c r="F3503" s="22"/>
      <c r="G3503" s="46" t="s">
        <v>1079</v>
      </c>
      <c r="H3503" s="20"/>
      <c r="I3503" s="46" t="str">
        <f>IF(ISNUMBER(G3503),E3503*G3503,"")</f>
        <v/>
      </c>
      <c r="J3503" s="69"/>
      <c r="K3503" s="70"/>
      <c r="L3503" s="174">
        <v>0</v>
      </c>
    </row>
    <row r="3504" spans="1:12" ht="39" hidden="1" thickBot="1" x14ac:dyDescent="0.3">
      <c r="A3504" s="186"/>
      <c r="B3504" s="179"/>
      <c r="C3504" s="25" t="s">
        <v>2018</v>
      </c>
      <c r="D3504" s="41" t="s">
        <v>263</v>
      </c>
      <c r="E3504" s="26">
        <v>1</v>
      </c>
      <c r="F3504" s="27" t="s">
        <v>2017</v>
      </c>
      <c r="G3504" s="46">
        <v>619.875</v>
      </c>
      <c r="H3504" s="27" t="s">
        <v>2017</v>
      </c>
      <c r="I3504" s="46">
        <f>IF(ISNUMBER(G3504),E3504*G3504,"")</f>
        <v>619.875</v>
      </c>
      <c r="J3504" s="28">
        <f>SUM(I3504:I3504)</f>
        <v>619.875</v>
      </c>
      <c r="K3504" s="29"/>
      <c r="L3504" s="174">
        <v>0</v>
      </c>
    </row>
    <row r="3505" spans="1:12" ht="15.75" hidden="1" thickBot="1" x14ac:dyDescent="0.3">
      <c r="A3505" s="187"/>
      <c r="B3505" s="183"/>
      <c r="C3505" s="25"/>
      <c r="D3505" s="25"/>
      <c r="E3505" s="26"/>
      <c r="F3505" s="27"/>
      <c r="G3505" s="46" t="s">
        <v>1079</v>
      </c>
      <c r="H3505" s="1"/>
      <c r="I3505" s="46" t="str">
        <f>IF(ISNUMBER(G3505),E3505*G3505,"")</f>
        <v/>
      </c>
      <c r="J3505" s="69"/>
      <c r="K3505" s="70"/>
      <c r="L3505" s="174">
        <v>0</v>
      </c>
    </row>
    <row r="3506" spans="1:12" ht="15.75" hidden="1" thickBot="1" x14ac:dyDescent="0.3">
      <c r="A3506" s="180" t="s">
        <v>2019</v>
      </c>
      <c r="B3506" s="178" t="str">
        <f>INDEX(Orçamentária!A:B,MATCH(Composições!A3506,Orçamentária!A:A,0),2)</f>
        <v>Locação de Container - Almoxarifado</v>
      </c>
      <c r="C3506" s="30"/>
      <c r="D3506" s="13" t="str">
        <f>TRIM(INDEX(Orçamentária!C:C,MATCH(Composições!A3506,Orçamentária!A:A,0),1))</f>
        <v>mês</v>
      </c>
      <c r="E3506" s="14"/>
      <c r="F3506" s="15" t="s">
        <v>2020</v>
      </c>
      <c r="G3506" s="40" t="s">
        <v>1079</v>
      </c>
      <c r="H3506" s="16"/>
      <c r="I3506" s="16" t="str">
        <f>IF(ISNUMBER(G3506),E3506*G3506,"")</f>
        <v/>
      </c>
      <c r="J3506" s="17"/>
      <c r="K3506" s="18"/>
      <c r="L3506" s="174">
        <v>0</v>
      </c>
    </row>
    <row r="3507" spans="1:12" ht="15.75" hidden="1" thickBot="1" x14ac:dyDescent="0.3">
      <c r="A3507" s="186"/>
      <c r="B3507" s="179"/>
      <c r="C3507" s="20"/>
      <c r="D3507" s="20"/>
      <c r="E3507" s="21"/>
      <c r="F3507" s="22"/>
      <c r="G3507" s="46" t="s">
        <v>1079</v>
      </c>
      <c r="H3507" s="20"/>
      <c r="I3507" s="46" t="str">
        <f>IF(ISNUMBER(G3507),E3507*G3507,"")</f>
        <v/>
      </c>
      <c r="J3507" s="69"/>
      <c r="K3507" s="70"/>
      <c r="L3507" s="174">
        <v>0</v>
      </c>
    </row>
    <row r="3508" spans="1:12" ht="26.25" hidden="1" thickBot="1" x14ac:dyDescent="0.3">
      <c r="A3508" s="186"/>
      <c r="B3508" s="179"/>
      <c r="C3508" s="25" t="s">
        <v>2021</v>
      </c>
      <c r="D3508" s="41" t="s">
        <v>263</v>
      </c>
      <c r="E3508" s="26">
        <v>1</v>
      </c>
      <c r="F3508" s="27" t="s">
        <v>2020</v>
      </c>
      <c r="G3508" s="46">
        <v>387.41949999999997</v>
      </c>
      <c r="H3508" s="27" t="s">
        <v>2020</v>
      </c>
      <c r="I3508" s="46">
        <f>IF(ISNUMBER(G3508),E3508*G3508,"")</f>
        <v>387.41949999999997</v>
      </c>
      <c r="J3508" s="28">
        <f>SUM(I3508:I3508)</f>
        <v>387.41949999999997</v>
      </c>
      <c r="K3508" s="29"/>
      <c r="L3508" s="174">
        <v>0</v>
      </c>
    </row>
    <row r="3509" spans="1:12" ht="15.75" hidden="1" thickBot="1" x14ac:dyDescent="0.3">
      <c r="A3509" s="187"/>
      <c r="B3509" s="183"/>
      <c r="C3509" s="25"/>
      <c r="D3509" s="25"/>
      <c r="E3509" s="26"/>
      <c r="F3509" s="27"/>
      <c r="G3509" s="46" t="s">
        <v>1079</v>
      </c>
      <c r="H3509" s="1"/>
      <c r="I3509" s="46" t="str">
        <f>IF(ISNUMBER(G3509),E3509*G3509,"")</f>
        <v/>
      </c>
      <c r="J3509" s="69"/>
      <c r="K3509" s="70"/>
      <c r="L3509" s="174">
        <v>0</v>
      </c>
    </row>
    <row r="3510" spans="1:12" ht="15.75" hidden="1" thickBot="1" x14ac:dyDescent="0.3">
      <c r="A3510" s="180" t="s">
        <v>2022</v>
      </c>
      <c r="B3510" s="178" t="str">
        <f>INDEX(Orçamentária!A:B,MATCH(Composições!A3510,Orçamentária!A:A,0),2)</f>
        <v>Placa de Obra</v>
      </c>
      <c r="C3510" s="30"/>
      <c r="D3510" s="13" t="str">
        <f>TRIM(INDEX(Orçamentária!C:C,MATCH(Composições!A3510,Orçamentária!A:A,0),1))</f>
        <v>m2</v>
      </c>
      <c r="E3510" s="14"/>
      <c r="F3510" s="15" t="s">
        <v>2023</v>
      </c>
      <c r="G3510" s="40" t="s">
        <v>1079</v>
      </c>
      <c r="H3510" s="16"/>
      <c r="I3510" s="16" t="str">
        <f>IF(ISNUMBER(G3510),E3510*G3510,"")</f>
        <v/>
      </c>
      <c r="J3510" s="17"/>
      <c r="K3510" s="18"/>
      <c r="L3510" s="174">
        <v>0</v>
      </c>
    </row>
    <row r="3511" spans="1:12" ht="15.75" hidden="1" thickBot="1" x14ac:dyDescent="0.3">
      <c r="A3511" s="181"/>
      <c r="B3511" s="179"/>
      <c r="C3511" s="20"/>
      <c r="D3511" s="20"/>
      <c r="E3511" s="21"/>
      <c r="F3511" s="22"/>
      <c r="G3511" s="46" t="s">
        <v>1079</v>
      </c>
      <c r="H3511" s="20"/>
      <c r="I3511" s="46" t="str">
        <f>IF(ISNUMBER(G3511),E3511*G3511,"")</f>
        <v/>
      </c>
      <c r="J3511" s="69"/>
      <c r="K3511" s="70"/>
      <c r="L3511" s="174">
        <v>0</v>
      </c>
    </row>
    <row r="3512" spans="1:12" ht="26.25" hidden="1" thickBot="1" x14ac:dyDescent="0.3">
      <c r="A3512" s="181"/>
      <c r="B3512" s="179"/>
      <c r="C3512" s="25" t="s">
        <v>2024</v>
      </c>
      <c r="D3512" s="25" t="s">
        <v>1795</v>
      </c>
      <c r="E3512" s="26">
        <v>1</v>
      </c>
      <c r="F3512" s="27" t="s">
        <v>2023</v>
      </c>
      <c r="G3512" s="46">
        <v>296.875</v>
      </c>
      <c r="H3512" s="27" t="s">
        <v>2023</v>
      </c>
      <c r="I3512" s="46">
        <f>IF(ISNUMBER(G3512),E3512*G3512,"")</f>
        <v>296.875</v>
      </c>
      <c r="J3512" s="28">
        <f>SUM(I3512:I3513)</f>
        <v>296.875</v>
      </c>
      <c r="K3512" s="29"/>
      <c r="L3512" s="174">
        <v>0</v>
      </c>
    </row>
    <row r="3513" spans="1:12" ht="15.75" hidden="1" thickBot="1" x14ac:dyDescent="0.3">
      <c r="A3513" s="182"/>
      <c r="B3513" s="183"/>
      <c r="C3513" s="47"/>
      <c r="D3513" s="47"/>
      <c r="E3513" s="60"/>
      <c r="F3513" s="61"/>
      <c r="G3513" s="73" t="s">
        <v>1079</v>
      </c>
      <c r="H3513" s="61"/>
      <c r="I3513" s="73" t="str">
        <f>IF(ISNUMBER(G3513),E3513*G3513,"")</f>
        <v/>
      </c>
      <c r="J3513" s="75"/>
      <c r="K3513" s="70"/>
      <c r="L3513" s="174">
        <v>0</v>
      </c>
    </row>
    <row r="3514" spans="1:12" ht="15.75" hidden="1" thickBot="1" x14ac:dyDescent="0.3">
      <c r="A3514" s="180" t="s">
        <v>2025</v>
      </c>
      <c r="B3514" s="178" t="str">
        <f>INDEX(Orçamentária!A:B,MATCH(Composições!A3514,Orçamentária!A:A,0),2)</f>
        <v>Supervisor de Obras e Manutenção – Apoio de campo – Segurança do Trabalho</v>
      </c>
      <c r="C3514" s="30"/>
      <c r="D3514" s="13" t="str">
        <f>TRIM(INDEX(Orçamentária!C:C,MATCH(Composições!A3514,Orçamentária!A:A,0),1))</f>
        <v>Profissional</v>
      </c>
      <c r="E3514" s="14"/>
      <c r="F3514" s="15" t="s">
        <v>17</v>
      </c>
      <c r="G3514" s="40" t="s">
        <v>1079</v>
      </c>
      <c r="H3514" s="16"/>
      <c r="I3514" s="16" t="str">
        <f>IF(ISNUMBER(G3514),E3514*G3514,"")</f>
        <v/>
      </c>
      <c r="J3514" s="17"/>
      <c r="K3514" s="18"/>
      <c r="L3514" s="174">
        <v>0</v>
      </c>
    </row>
    <row r="3515" spans="1:12" ht="15.75" hidden="1" thickBot="1" x14ac:dyDescent="0.3">
      <c r="A3515" s="181"/>
      <c r="B3515" s="179"/>
      <c r="C3515" s="20"/>
      <c r="D3515" s="20"/>
      <c r="E3515" s="21"/>
      <c r="F3515" s="22"/>
      <c r="G3515" s="46" t="s">
        <v>1079</v>
      </c>
      <c r="H3515" s="20"/>
      <c r="I3515" s="46" t="str">
        <f>IF(ISNUMBER(G3515),E3515*G3515,"")</f>
        <v/>
      </c>
      <c r="J3515" s="69"/>
      <c r="K3515" s="70"/>
      <c r="L3515" s="174">
        <v>0</v>
      </c>
    </row>
    <row r="3516" spans="1:12" ht="26.25" hidden="1" thickBot="1" x14ac:dyDescent="0.3">
      <c r="A3516" s="181"/>
      <c r="B3516" s="179"/>
      <c r="C3516" s="25" t="s">
        <v>2026</v>
      </c>
      <c r="D3516" s="25" t="s">
        <v>263</v>
      </c>
      <c r="E3516" s="26">
        <f>ROUND(1/(1+72.54%),4)</f>
        <v>0.5796</v>
      </c>
      <c r="F3516" s="27" t="s">
        <v>17</v>
      </c>
      <c r="G3516" s="46">
        <v>5675.0909999999994</v>
      </c>
      <c r="H3516" s="27" t="s">
        <v>2027</v>
      </c>
      <c r="I3516" s="46">
        <f>IF(ISNUMBER(G3516),E3516*G3516,"")</f>
        <v>3289.2827435999998</v>
      </c>
      <c r="J3516" s="28">
        <f>SUM(I3516:I3519)</f>
        <v>3289.2827435999998</v>
      </c>
      <c r="K3516" s="29"/>
      <c r="L3516" s="174">
        <v>0</v>
      </c>
    </row>
    <row r="3517" spans="1:12" ht="15.75" hidden="1" thickBot="1" x14ac:dyDescent="0.3">
      <c r="A3517" s="181"/>
      <c r="B3517" s="179"/>
      <c r="C3517" s="25"/>
      <c r="D3517" s="25"/>
      <c r="E3517" s="26"/>
      <c r="F3517" s="27"/>
      <c r="G3517" s="46" t="s">
        <v>1079</v>
      </c>
      <c r="H3517" s="27"/>
      <c r="I3517" s="46" t="str">
        <f>IF(ISNUMBER(G3517),E3517*G3517,"")</f>
        <v/>
      </c>
      <c r="J3517" s="69"/>
      <c r="K3517" s="70"/>
      <c r="L3517" s="174">
        <v>0</v>
      </c>
    </row>
    <row r="3518" spans="1:12" ht="26.25" hidden="1" thickBot="1" x14ac:dyDescent="0.3">
      <c r="A3518" s="181"/>
      <c r="B3518" s="179"/>
      <c r="C3518" s="39" t="s">
        <v>1495</v>
      </c>
      <c r="D3518" s="25"/>
      <c r="E3518" s="26"/>
      <c r="F3518" s="27"/>
      <c r="G3518" s="46" t="s">
        <v>1079</v>
      </c>
      <c r="H3518" s="27"/>
      <c r="I3518" s="46" t="str">
        <f>IF(ISNUMBER(G3518),E3518*G3518,"")</f>
        <v/>
      </c>
      <c r="J3518" s="69"/>
      <c r="K3518" s="70"/>
      <c r="L3518" s="174">
        <v>0</v>
      </c>
    </row>
    <row r="3519" spans="1:12" ht="15.75" hidden="1" thickBot="1" x14ac:dyDescent="0.3">
      <c r="A3519" s="182"/>
      <c r="B3519" s="183"/>
      <c r="C3519" s="47"/>
      <c r="D3519" s="47"/>
      <c r="E3519" s="60"/>
      <c r="F3519" s="61"/>
      <c r="G3519" s="73" t="s">
        <v>1079</v>
      </c>
      <c r="H3519" s="61"/>
      <c r="I3519" s="73" t="str">
        <f>IF(ISNUMBER(G3519),E3519*G3519,"")</f>
        <v/>
      </c>
      <c r="J3519" s="75"/>
      <c r="K3519" s="70"/>
      <c r="L3519" s="174">
        <v>0</v>
      </c>
    </row>
    <row r="3520" spans="1:12" ht="15.75" hidden="1" thickBot="1" x14ac:dyDescent="0.3">
      <c r="A3520" s="180" t="s">
        <v>2028</v>
      </c>
      <c r="B3520" s="178" t="str">
        <f>INDEX(Orçamentária!A:B,MATCH(Composições!A3520,Orçamentária!A:A,0),2)</f>
        <v xml:space="preserve">Reparo de placas de mármore com adesivo estrutural epóxi branco/transparente </v>
      </c>
      <c r="C3520" s="30"/>
      <c r="D3520" s="13" t="str">
        <f>TRIM(INDEX(Orçamentária!C:C,MATCH(Composições!A3520,Orçamentária!A:A,0),1))</f>
        <v>m2</v>
      </c>
      <c r="E3520" s="14"/>
      <c r="F3520" s="15" t="s">
        <v>17</v>
      </c>
      <c r="G3520" s="40" t="s">
        <v>1079</v>
      </c>
      <c r="H3520" s="16"/>
      <c r="I3520" s="16" t="str">
        <f>IF(ISNUMBER(G3520),E3520*G3520,"")</f>
        <v/>
      </c>
      <c r="J3520" s="17"/>
      <c r="K3520" s="18"/>
      <c r="L3520" s="174">
        <v>0</v>
      </c>
    </row>
    <row r="3521" spans="1:12" ht="15.75" hidden="1" thickBot="1" x14ac:dyDescent="0.3">
      <c r="A3521" s="186"/>
      <c r="B3521" s="179"/>
      <c r="C3521" s="20"/>
      <c r="D3521" s="20"/>
      <c r="E3521" s="21"/>
      <c r="F3521" s="22"/>
      <c r="G3521" s="46" t="s">
        <v>1079</v>
      </c>
      <c r="H3521" s="20"/>
      <c r="I3521" s="46" t="str">
        <f>IF(ISNUMBER(G3521),E3521*G3521,"")</f>
        <v/>
      </c>
      <c r="J3521" s="69"/>
      <c r="K3521" s="70"/>
      <c r="L3521" s="174">
        <v>0</v>
      </c>
    </row>
    <row r="3522" spans="1:12" ht="15.75" hidden="1" thickBot="1" x14ac:dyDescent="0.3">
      <c r="A3522" s="186"/>
      <c r="B3522" s="179"/>
      <c r="C3522" s="25" t="s">
        <v>101</v>
      </c>
      <c r="D3522" s="25" t="s">
        <v>21</v>
      </c>
      <c r="E3522" s="26">
        <f>0.5/50</f>
        <v>0.01</v>
      </c>
      <c r="F3522" s="27" t="s">
        <v>17</v>
      </c>
      <c r="G3522" s="46">
        <v>16.093</v>
      </c>
      <c r="H3522" s="27" t="s">
        <v>103</v>
      </c>
      <c r="I3522" s="46">
        <f>IF(ISNUMBER(G3522),E3522*G3522,"")</f>
        <v>0.16092999999999999</v>
      </c>
      <c r="J3522" s="28">
        <f>SUM(I3522:I3523)</f>
        <v>0.16092999999999999</v>
      </c>
      <c r="K3522" s="29"/>
      <c r="L3522" s="174">
        <v>0</v>
      </c>
    </row>
    <row r="3523" spans="1:12" ht="15.75" hidden="1" thickBot="1" x14ac:dyDescent="0.3">
      <c r="A3523" s="186"/>
      <c r="B3523" s="179"/>
      <c r="C3523" s="25" t="s">
        <v>2029</v>
      </c>
      <c r="D3523" s="25" t="s">
        <v>305</v>
      </c>
      <c r="E3523" s="26">
        <f>1/50</f>
        <v>0.02</v>
      </c>
      <c r="F3523" s="27" t="s">
        <v>17</v>
      </c>
      <c r="G3523" s="46" t="s">
        <v>1079</v>
      </c>
      <c r="H3523" s="27" t="s">
        <v>33</v>
      </c>
      <c r="I3523" s="46" t="str">
        <f>IF(ISNUMBER(G3523),E3523*G3523,"")</f>
        <v/>
      </c>
      <c r="J3523" s="69"/>
      <c r="K3523" s="70"/>
      <c r="L3523" s="174">
        <v>0</v>
      </c>
    </row>
    <row r="3524" spans="1:12" ht="15.75" hidden="1" thickBot="1" x14ac:dyDescent="0.3">
      <c r="A3524" s="187"/>
      <c r="B3524" s="183"/>
      <c r="C3524" s="25"/>
      <c r="D3524" s="25"/>
      <c r="E3524" s="26"/>
      <c r="F3524" s="27"/>
      <c r="G3524" s="46" t="s">
        <v>1079</v>
      </c>
      <c r="H3524" s="1"/>
      <c r="I3524" s="46" t="str">
        <f>IF(ISNUMBER(G3524),E3524*G3524,"")</f>
        <v/>
      </c>
      <c r="J3524" s="69"/>
      <c r="K3524" s="70"/>
      <c r="L3524" s="174">
        <v>0</v>
      </c>
    </row>
    <row r="3525" spans="1:12" ht="15.75" hidden="1" thickBot="1" x14ac:dyDescent="0.3">
      <c r="A3525" s="180" t="s">
        <v>2030</v>
      </c>
      <c r="B3525" s="178" t="str">
        <f>INDEX(Orçamentária!A:B,MATCH(Composições!A3525,Orçamentária!A:A,0),2)</f>
        <v>Perfil de chapa de aço galvanizado para esquadria (Anexo 1)</v>
      </c>
      <c r="C3525" s="30"/>
      <c r="D3525" s="13" t="str">
        <f>TRIM(INDEX(Orçamentária!C:C,MATCH(Composições!A3525,Orçamentária!A:A,0),1))</f>
        <v>m2</v>
      </c>
      <c r="E3525" s="14"/>
      <c r="F3525" s="15" t="s">
        <v>17</v>
      </c>
      <c r="G3525" s="40" t="s">
        <v>1079</v>
      </c>
      <c r="H3525" s="16"/>
      <c r="I3525" s="16" t="str">
        <f>IF(ISNUMBER(G3525),E3525*G3525,"")</f>
        <v/>
      </c>
      <c r="J3525" s="17"/>
      <c r="K3525" s="18"/>
      <c r="L3525" s="174">
        <v>0</v>
      </c>
    </row>
    <row r="3526" spans="1:12" ht="15.75" hidden="1" thickBot="1" x14ac:dyDescent="0.3">
      <c r="A3526" s="186"/>
      <c r="B3526" s="179"/>
      <c r="C3526" s="20"/>
      <c r="D3526" s="20"/>
      <c r="E3526" s="21"/>
      <c r="F3526" s="22"/>
      <c r="G3526" s="46" t="s">
        <v>1079</v>
      </c>
      <c r="H3526" s="20"/>
      <c r="I3526" s="46" t="str">
        <f>IF(ISNUMBER(G3526),E3526*G3526,"")</f>
        <v/>
      </c>
      <c r="J3526" s="69"/>
      <c r="K3526" s="70"/>
      <c r="L3526" s="174">
        <v>0</v>
      </c>
    </row>
    <row r="3527" spans="1:12" ht="15.75" hidden="1" thickBot="1" x14ac:dyDescent="0.3">
      <c r="A3527" s="186"/>
      <c r="B3527" s="179"/>
      <c r="C3527" s="25" t="s">
        <v>36</v>
      </c>
      <c r="D3527" s="25" t="s">
        <v>21</v>
      </c>
      <c r="E3527" s="26">
        <v>0.5</v>
      </c>
      <c r="F3527" s="27" t="s">
        <v>2031</v>
      </c>
      <c r="G3527" s="46">
        <v>19.142499999999998</v>
      </c>
      <c r="H3527" s="27" t="s">
        <v>37</v>
      </c>
      <c r="I3527" s="46">
        <f>IF(ISNUMBER(G3527),E3527*G3527,"")</f>
        <v>9.5712499999999991</v>
      </c>
      <c r="J3527" s="28">
        <f>SUM(I3527:I3532)</f>
        <v>25.495979162089998</v>
      </c>
      <c r="K3527" s="29"/>
      <c r="L3527" s="174">
        <v>0</v>
      </c>
    </row>
    <row r="3528" spans="1:12" ht="15.75" hidden="1" thickBot="1" x14ac:dyDescent="0.3">
      <c r="A3528" s="186"/>
      <c r="B3528" s="179"/>
      <c r="C3528" s="25" t="s">
        <v>38</v>
      </c>
      <c r="D3528" s="25" t="s">
        <v>21</v>
      </c>
      <c r="E3528" s="26">
        <v>0.51</v>
      </c>
      <c r="F3528" s="27" t="s">
        <v>2031</v>
      </c>
      <c r="G3528" s="46">
        <v>14.325999999999999</v>
      </c>
      <c r="H3528" s="27" t="s">
        <v>39</v>
      </c>
      <c r="I3528" s="46">
        <f>IF(ISNUMBER(G3528),E3528*G3528,"")</f>
        <v>7.3062599999999991</v>
      </c>
      <c r="J3528" s="69"/>
      <c r="K3528" s="70"/>
      <c r="L3528" s="174">
        <v>0</v>
      </c>
    </row>
    <row r="3529" spans="1:12" ht="39" hidden="1" thickBot="1" x14ac:dyDescent="0.3">
      <c r="A3529" s="186"/>
      <c r="B3529" s="179"/>
      <c r="C3529" s="25" t="s">
        <v>380</v>
      </c>
      <c r="D3529" s="36" t="s">
        <v>228</v>
      </c>
      <c r="E3529" s="26">
        <v>3.0999999999999999E-3</v>
      </c>
      <c r="F3529" s="27" t="s">
        <v>2031</v>
      </c>
      <c r="G3529" s="46">
        <v>433.41200390000006</v>
      </c>
      <c r="H3529" s="27" t="s">
        <v>382</v>
      </c>
      <c r="I3529" s="46">
        <f>IF(ISNUMBER(G3529),E3529*G3529,"")</f>
        <v>1.34357721209</v>
      </c>
      <c r="J3529" s="69"/>
      <c r="K3529" s="70"/>
      <c r="L3529" s="174">
        <v>0</v>
      </c>
    </row>
    <row r="3530" spans="1:12" ht="15.75" hidden="1" thickBot="1" x14ac:dyDescent="0.3">
      <c r="A3530" s="186"/>
      <c r="B3530" s="179"/>
      <c r="C3530" s="25" t="s">
        <v>2032</v>
      </c>
      <c r="D3530" s="36" t="s">
        <v>184</v>
      </c>
      <c r="E3530" s="26">
        <v>1</v>
      </c>
      <c r="F3530" s="27" t="s">
        <v>2031</v>
      </c>
      <c r="G3530" s="46" t="s">
        <v>1079</v>
      </c>
      <c r="H3530" s="27" t="s">
        <v>33</v>
      </c>
      <c r="I3530" s="46" t="str">
        <f>IF(ISNUMBER(G3530),E3530*G3530,"")</f>
        <v/>
      </c>
      <c r="J3530" s="69"/>
      <c r="K3530" s="70"/>
      <c r="L3530" s="174">
        <v>0</v>
      </c>
    </row>
    <row r="3531" spans="1:12" ht="15.75" hidden="1" thickBot="1" x14ac:dyDescent="0.3">
      <c r="A3531" s="186"/>
      <c r="B3531" s="179"/>
      <c r="C3531" s="25" t="s">
        <v>38</v>
      </c>
      <c r="D3531" s="25" t="s">
        <v>21</v>
      </c>
      <c r="E3531" s="26">
        <v>0.15</v>
      </c>
      <c r="F3531" s="27" t="s">
        <v>2033</v>
      </c>
      <c r="G3531" s="46">
        <v>14.325999999999999</v>
      </c>
      <c r="H3531" s="27" t="s">
        <v>39</v>
      </c>
      <c r="I3531" s="46">
        <f>IF(ISNUMBER(G3531),E3531*G3531,"")</f>
        <v>2.1488999999999998</v>
      </c>
      <c r="J3531" s="69"/>
      <c r="K3531" s="70"/>
      <c r="L3531" s="174">
        <v>0</v>
      </c>
    </row>
    <row r="3532" spans="1:12" ht="15.75" hidden="1" thickBot="1" x14ac:dyDescent="0.3">
      <c r="A3532" s="186"/>
      <c r="B3532" s="179"/>
      <c r="C3532" s="25" t="s">
        <v>2034</v>
      </c>
      <c r="D3532" s="25" t="s">
        <v>588</v>
      </c>
      <c r="E3532" s="26">
        <f>ROUND(0.1/0.28,4)</f>
        <v>0.35709999999999997</v>
      </c>
      <c r="F3532" s="27" t="s">
        <v>2033</v>
      </c>
      <c r="G3532" s="46">
        <v>14.354499999999998</v>
      </c>
      <c r="H3532" s="27" t="s">
        <v>622</v>
      </c>
      <c r="I3532" s="46">
        <f>IF(ISNUMBER(G3532),E3532*G3532,"")</f>
        <v>5.1259919499999986</v>
      </c>
      <c r="J3532" s="69"/>
      <c r="K3532" s="70"/>
      <c r="L3532" s="174">
        <v>0</v>
      </c>
    </row>
    <row r="3533" spans="1:12" ht="15.75" hidden="1" thickBot="1" x14ac:dyDescent="0.3">
      <c r="A3533" s="186"/>
      <c r="B3533" s="179"/>
      <c r="C3533" s="25"/>
      <c r="D3533" s="36"/>
      <c r="E3533" s="26"/>
      <c r="F3533" s="27"/>
      <c r="G3533" s="46" t="s">
        <v>1079</v>
      </c>
      <c r="H3533" s="27"/>
      <c r="I3533" s="46" t="str">
        <f>IF(ISNUMBER(G3533),E3533*G3533,"")</f>
        <v/>
      </c>
      <c r="J3533" s="69"/>
      <c r="K3533" s="70"/>
      <c r="L3533" s="174">
        <v>0</v>
      </c>
    </row>
    <row r="3534" spans="1:12" ht="15.75" hidden="1" thickBot="1" x14ac:dyDescent="0.3">
      <c r="A3534" s="186"/>
      <c r="B3534" s="179"/>
      <c r="C3534" s="171" t="s">
        <v>2035</v>
      </c>
      <c r="D3534" s="36"/>
      <c r="E3534" s="26"/>
      <c r="F3534" s="27"/>
      <c r="G3534" s="46" t="s">
        <v>1079</v>
      </c>
      <c r="H3534" s="27"/>
      <c r="I3534" s="46" t="str">
        <f>IF(ISNUMBER(G3534),E3534*G3534,"")</f>
        <v/>
      </c>
      <c r="J3534" s="69"/>
      <c r="K3534" s="70"/>
      <c r="L3534" s="174">
        <v>0</v>
      </c>
    </row>
    <row r="3535" spans="1:12" ht="15.75" hidden="1" thickBot="1" x14ac:dyDescent="0.3">
      <c r="A3535" s="186"/>
      <c r="B3535" s="179"/>
      <c r="C3535" s="47"/>
      <c r="D3535" s="47"/>
      <c r="E3535" s="60"/>
      <c r="F3535" s="61"/>
      <c r="G3535" s="73" t="s">
        <v>1079</v>
      </c>
      <c r="H3535" s="61"/>
      <c r="I3535" s="73" t="str">
        <f>IF(ISNUMBER(G3535),E3535*G3535,"")</f>
        <v/>
      </c>
      <c r="J3535" s="75"/>
      <c r="K3535" s="70"/>
      <c r="L3535" s="174">
        <v>0</v>
      </c>
    </row>
    <row r="3536" spans="1:12" ht="15.75" thickBot="1" x14ac:dyDescent="0.3">
      <c r="A3536" s="288" t="s">
        <v>2036</v>
      </c>
      <c r="B3536" s="289" t="str">
        <f>INDEX(Orçamentária!A:B,MATCH(Composições!A3536,Orçamentária!A:A,0),2)</f>
        <v>Granito Vermelho Brasília 20 mm para bancadas</v>
      </c>
      <c r="C3536" s="274"/>
      <c r="D3536" s="265" t="str">
        <f>TRIM(INDEX(Orçamentária!C:C,MATCH(Composições!A3536,Orçamentária!A:A,0),1))</f>
        <v>m2</v>
      </c>
      <c r="E3536" s="290"/>
      <c r="F3536" s="259" t="s">
        <v>2037</v>
      </c>
      <c r="G3536" s="312" t="s">
        <v>1079</v>
      </c>
      <c r="H3536" s="261"/>
      <c r="I3536" s="261" t="str">
        <f>IF(ISNUMBER(G3536),E3536*G3536,"")</f>
        <v/>
      </c>
      <c r="J3536" s="280"/>
      <c r="K3536" s="18"/>
      <c r="L3536" s="174">
        <v>26.42</v>
      </c>
    </row>
    <row r="3537" spans="1:12" x14ac:dyDescent="0.25">
      <c r="A3537" s="300"/>
      <c r="B3537" s="292"/>
      <c r="C3537" s="155"/>
      <c r="D3537" s="155"/>
      <c r="E3537" s="293"/>
      <c r="F3537" s="294"/>
      <c r="G3537" s="313" t="s">
        <v>1079</v>
      </c>
      <c r="H3537" s="155"/>
      <c r="I3537" s="313" t="str">
        <f>IF(ISNUMBER(G3537),E3537*G3537,"")</f>
        <v/>
      </c>
      <c r="J3537" s="314"/>
      <c r="K3537" s="70"/>
      <c r="L3537" s="174">
        <v>26.42</v>
      </c>
    </row>
    <row r="3538" spans="1:12" ht="25.5" x14ac:dyDescent="0.25">
      <c r="A3538" s="300"/>
      <c r="B3538" s="292"/>
      <c r="C3538" s="105" t="s">
        <v>2038</v>
      </c>
      <c r="D3538" s="105" t="s">
        <v>189</v>
      </c>
      <c r="E3538" s="250">
        <v>1</v>
      </c>
      <c r="F3538" s="176" t="s">
        <v>519</v>
      </c>
      <c r="G3538" s="313">
        <v>416</v>
      </c>
      <c r="H3538" s="176" t="s">
        <v>33</v>
      </c>
      <c r="I3538" s="313">
        <f>IF(ISNUMBER(G3538),E3538*G3538,"")</f>
        <v>416</v>
      </c>
      <c r="J3538" s="295">
        <f>SUM(I3538:I3542)</f>
        <v>463.74000420000004</v>
      </c>
      <c r="K3538" s="29"/>
      <c r="L3538" s="174">
        <v>26.42</v>
      </c>
    </row>
    <row r="3539" spans="1:12" x14ac:dyDescent="0.25">
      <c r="A3539" s="300"/>
      <c r="B3539" s="292"/>
      <c r="C3539" s="105" t="s">
        <v>521</v>
      </c>
      <c r="D3539" s="105" t="s">
        <v>184</v>
      </c>
      <c r="E3539" s="250">
        <v>0.6</v>
      </c>
      <c r="F3539" s="176" t="s">
        <v>522</v>
      </c>
      <c r="G3539" s="313">
        <v>6.9729999999999999</v>
      </c>
      <c r="H3539" s="176" t="s">
        <v>523</v>
      </c>
      <c r="I3539" s="313">
        <f>IF(ISNUMBER(G3539),E3539*G3539,"")</f>
        <v>4.1837999999999997</v>
      </c>
      <c r="J3539" s="314"/>
      <c r="K3539" s="70"/>
      <c r="L3539" s="174">
        <v>26.42</v>
      </c>
    </row>
    <row r="3540" spans="1:12" x14ac:dyDescent="0.25">
      <c r="A3540" s="300"/>
      <c r="B3540" s="292"/>
      <c r="C3540" s="105" t="s">
        <v>524</v>
      </c>
      <c r="D3540" s="105" t="s">
        <v>75</v>
      </c>
      <c r="E3540" s="250">
        <f>0.0351/1.5/0.6</f>
        <v>3.9E-2</v>
      </c>
      <c r="F3540" s="176" t="s">
        <v>519</v>
      </c>
      <c r="G3540" s="313">
        <v>33.667999999999999</v>
      </c>
      <c r="H3540" s="176" t="s">
        <v>525</v>
      </c>
      <c r="I3540" s="313">
        <f>IF(ISNUMBER(G3540),E3540*G3540,"")</f>
        <v>1.3130519999999999</v>
      </c>
      <c r="J3540" s="314"/>
      <c r="K3540" s="70"/>
      <c r="L3540" s="174">
        <v>26.42</v>
      </c>
    </row>
    <row r="3541" spans="1:12" x14ac:dyDescent="0.25">
      <c r="A3541" s="300"/>
      <c r="B3541" s="292"/>
      <c r="C3541" s="105" t="s">
        <v>101</v>
      </c>
      <c r="D3541" s="105" t="s">
        <v>21</v>
      </c>
      <c r="E3541" s="250">
        <f>ROUND(1.49/1.5/0.6,4)</f>
        <v>1.6556</v>
      </c>
      <c r="F3541" s="176" t="s">
        <v>519</v>
      </c>
      <c r="G3541" s="313">
        <v>16.093</v>
      </c>
      <c r="H3541" s="176" t="s">
        <v>103</v>
      </c>
      <c r="I3541" s="313">
        <f>IF(ISNUMBER(G3541),E3541*G3541,"")</f>
        <v>26.643570799999999</v>
      </c>
      <c r="J3541" s="314"/>
      <c r="K3541" s="70"/>
      <c r="L3541" s="174">
        <v>26.42</v>
      </c>
    </row>
    <row r="3542" spans="1:12" x14ac:dyDescent="0.25">
      <c r="A3542" s="300"/>
      <c r="B3542" s="292"/>
      <c r="C3542" s="105" t="s">
        <v>38</v>
      </c>
      <c r="D3542" s="105" t="s">
        <v>21</v>
      </c>
      <c r="E3542" s="250">
        <f>ROUND(0.98/1.5/0.6,4)</f>
        <v>1.0889</v>
      </c>
      <c r="F3542" s="176" t="s">
        <v>519</v>
      </c>
      <c r="G3542" s="313">
        <v>14.325999999999999</v>
      </c>
      <c r="H3542" s="176" t="s">
        <v>39</v>
      </c>
      <c r="I3542" s="313">
        <f>IF(ISNUMBER(G3542),E3542*G3542,"")</f>
        <v>15.599581399999998</v>
      </c>
      <c r="J3542" s="314"/>
      <c r="K3542" s="70"/>
      <c r="L3542" s="174">
        <v>26.42</v>
      </c>
    </row>
    <row r="3543" spans="1:12" ht="15.75" thickBot="1" x14ac:dyDescent="0.3">
      <c r="A3543" s="300"/>
      <c r="B3543" s="292"/>
      <c r="C3543" s="105"/>
      <c r="D3543" s="105"/>
      <c r="E3543" s="250"/>
      <c r="F3543" s="176"/>
      <c r="G3543" s="313" t="s">
        <v>1079</v>
      </c>
      <c r="H3543" s="176"/>
      <c r="I3543" s="313" t="str">
        <f>IF(ISNUMBER(G3543),E3543*G3543,"")</f>
        <v/>
      </c>
      <c r="J3543" s="314"/>
      <c r="K3543" s="70"/>
      <c r="L3543" s="174">
        <v>26.42</v>
      </c>
    </row>
    <row r="3544" spans="1:12" ht="15.75" thickBot="1" x14ac:dyDescent="0.3">
      <c r="A3544" s="288" t="s">
        <v>2039</v>
      </c>
      <c r="B3544" s="289" t="str">
        <f>INDEX(Orçamentária!A:B,MATCH(Composições!A3544,Orçamentária!A:A,0),2)</f>
        <v>Porta em alumínio tipo veneziana</v>
      </c>
      <c r="C3544" s="274"/>
      <c r="D3544" s="265" t="str">
        <f>TRIM(INDEX(Orçamentária!C:C,MATCH(Composições!A3544,Orçamentária!A:A,0),1))</f>
        <v>m2</v>
      </c>
      <c r="E3544" s="290"/>
      <c r="F3544" s="259" t="s">
        <v>2040</v>
      </c>
      <c r="G3544" s="312" t="s">
        <v>1079</v>
      </c>
      <c r="H3544" s="261"/>
      <c r="I3544" s="261" t="str">
        <f>IF(ISNUMBER(G3544),E3544*G3544,"")</f>
        <v/>
      </c>
      <c r="J3544" s="280"/>
      <c r="K3544" s="18"/>
      <c r="L3544" s="174">
        <v>10</v>
      </c>
    </row>
    <row r="3545" spans="1:12" x14ac:dyDescent="0.25">
      <c r="A3545" s="300"/>
      <c r="B3545" s="292"/>
      <c r="C3545" s="155"/>
      <c r="D3545" s="155"/>
      <c r="E3545" s="293"/>
      <c r="F3545" s="294"/>
      <c r="G3545" s="313" t="s">
        <v>1079</v>
      </c>
      <c r="H3545" s="155"/>
      <c r="I3545" s="313" t="str">
        <f>IF(ISNUMBER(G3545),E3545*G3545,"")</f>
        <v/>
      </c>
      <c r="J3545" s="314"/>
      <c r="K3545" s="70"/>
      <c r="L3545" s="174">
        <v>10</v>
      </c>
    </row>
    <row r="3546" spans="1:12" ht="25.5" x14ac:dyDescent="0.25">
      <c r="A3546" s="300"/>
      <c r="B3546" s="292"/>
      <c r="C3546" s="105" t="s">
        <v>1901</v>
      </c>
      <c r="D3546" s="271" t="s">
        <v>1924</v>
      </c>
      <c r="E3546" s="250">
        <v>0.88290000000000002</v>
      </c>
      <c r="F3546" s="176" t="s">
        <v>2040</v>
      </c>
      <c r="G3546" s="313">
        <v>21.726500000000001</v>
      </c>
      <c r="H3546" s="176" t="s">
        <v>1904</v>
      </c>
      <c r="I3546" s="313">
        <f>IF(ISNUMBER(G3546),E3546*G3546,"")</f>
        <v>19.182326850000003</v>
      </c>
      <c r="J3546" s="295">
        <f>SUM(I3546:I3551)</f>
        <v>393.07745394999995</v>
      </c>
      <c r="K3546" s="29"/>
      <c r="L3546" s="174">
        <v>10</v>
      </c>
    </row>
    <row r="3547" spans="1:12" ht="38.25" x14ac:dyDescent="0.25">
      <c r="A3547" s="300"/>
      <c r="B3547" s="292"/>
      <c r="C3547" s="105" t="s">
        <v>2041</v>
      </c>
      <c r="D3547" s="271" t="s">
        <v>588</v>
      </c>
      <c r="E3547" s="250">
        <v>4.8166000000000002</v>
      </c>
      <c r="F3547" s="176" t="s">
        <v>2040</v>
      </c>
      <c r="G3547" s="313">
        <v>0.57950000000000002</v>
      </c>
      <c r="H3547" s="176" t="s">
        <v>2042</v>
      </c>
      <c r="I3547" s="313">
        <f>IF(ISNUMBER(G3547),E3547*G3547,"")</f>
        <v>2.7912197000000001</v>
      </c>
      <c r="J3547" s="314"/>
      <c r="K3547" s="70"/>
      <c r="L3547" s="174">
        <v>10</v>
      </c>
    </row>
    <row r="3548" spans="1:12" ht="25.5" x14ac:dyDescent="0.25">
      <c r="A3548" s="300"/>
      <c r="B3548" s="292"/>
      <c r="C3548" s="105" t="s">
        <v>2043</v>
      </c>
      <c r="D3548" s="105" t="s">
        <v>988</v>
      </c>
      <c r="E3548" s="250">
        <v>6.8503999999999996</v>
      </c>
      <c r="F3548" s="176" t="s">
        <v>2040</v>
      </c>
      <c r="G3548" s="313">
        <v>5.7759999999999998</v>
      </c>
      <c r="H3548" s="176" t="s">
        <v>2044</v>
      </c>
      <c r="I3548" s="313">
        <f>IF(ISNUMBER(G3548),E3548*G3548,"")</f>
        <v>39.567910399999995</v>
      </c>
      <c r="J3548" s="314"/>
      <c r="K3548" s="70"/>
      <c r="L3548" s="174">
        <v>10</v>
      </c>
    </row>
    <row r="3549" spans="1:12" ht="25.5" x14ac:dyDescent="0.25">
      <c r="A3549" s="300"/>
      <c r="B3549" s="292"/>
      <c r="C3549" s="105" t="s">
        <v>2045</v>
      </c>
      <c r="D3549" s="105" t="s">
        <v>588</v>
      </c>
      <c r="E3549" s="250">
        <v>0.54730000000000001</v>
      </c>
      <c r="F3549" s="176" t="s">
        <v>2040</v>
      </c>
      <c r="G3549" s="313">
        <v>587.38499999999988</v>
      </c>
      <c r="H3549" s="176" t="s">
        <v>2046</v>
      </c>
      <c r="I3549" s="313">
        <f>IF(ISNUMBER(G3549),E3549*G3549,"")</f>
        <v>321.47581049999997</v>
      </c>
      <c r="J3549" s="314"/>
      <c r="K3549" s="70"/>
      <c r="L3549" s="174">
        <v>10</v>
      </c>
    </row>
    <row r="3550" spans="1:12" x14ac:dyDescent="0.25">
      <c r="A3550" s="300"/>
      <c r="B3550" s="292"/>
      <c r="C3550" s="105" t="s">
        <v>2047</v>
      </c>
      <c r="D3550" s="271" t="s">
        <v>1366</v>
      </c>
      <c r="E3550" s="250">
        <v>0.3826</v>
      </c>
      <c r="F3550" s="176" t="s">
        <v>2040</v>
      </c>
      <c r="G3550" s="313">
        <v>19.142499999999998</v>
      </c>
      <c r="H3550" s="176" t="s">
        <v>37</v>
      </c>
      <c r="I3550" s="313">
        <f>IF(ISNUMBER(G3550),E3550*G3550,"")</f>
        <v>7.3239204999999989</v>
      </c>
      <c r="J3550" s="314"/>
      <c r="K3550" s="70"/>
      <c r="L3550" s="174">
        <v>10</v>
      </c>
    </row>
    <row r="3551" spans="1:12" x14ac:dyDescent="0.25">
      <c r="A3551" s="300"/>
      <c r="B3551" s="292"/>
      <c r="C3551" s="105" t="s">
        <v>38</v>
      </c>
      <c r="D3551" s="271" t="s">
        <v>1366</v>
      </c>
      <c r="E3551" s="250">
        <v>0.191</v>
      </c>
      <c r="F3551" s="176" t="s">
        <v>2040</v>
      </c>
      <c r="G3551" s="313">
        <v>14.325999999999999</v>
      </c>
      <c r="H3551" s="176" t="s">
        <v>39</v>
      </c>
      <c r="I3551" s="313">
        <f>IF(ISNUMBER(G3551),E3551*G3551,"")</f>
        <v>2.7362659999999996</v>
      </c>
      <c r="J3551" s="314"/>
      <c r="K3551" s="70"/>
      <c r="L3551" s="174">
        <v>10</v>
      </c>
    </row>
    <row r="3552" spans="1:12" ht="15.75" thickBot="1" x14ac:dyDescent="0.3">
      <c r="A3552" s="300"/>
      <c r="B3552" s="292"/>
      <c r="C3552" s="105"/>
      <c r="D3552" s="271"/>
      <c r="E3552" s="250"/>
      <c r="F3552" s="176"/>
      <c r="G3552" s="313" t="s">
        <v>1079</v>
      </c>
      <c r="H3552" s="176"/>
      <c r="I3552" s="313" t="str">
        <f>IF(ISNUMBER(G3552),E3552*G3552,"")</f>
        <v/>
      </c>
      <c r="J3552" s="314"/>
      <c r="K3552" s="70"/>
      <c r="L3552" s="174">
        <v>10</v>
      </c>
    </row>
    <row r="3553" spans="1:12" ht="15.75" thickBot="1" x14ac:dyDescent="0.3">
      <c r="A3553" s="288" t="s">
        <v>2048</v>
      </c>
      <c r="B3553" s="289" t="str">
        <f>INDEX(Orçamentária!A:B,MATCH(Composições!A3553,Orçamentária!A:A,0),2)</f>
        <v>Janela em alumínio, duas seções, 120x60cm</v>
      </c>
      <c r="C3553" s="274"/>
      <c r="D3553" s="265" t="str">
        <f>TRIM(INDEX(Orçamentária!C:C,MATCH(Composições!A3553,Orçamentária!A:A,0),1))</f>
        <v>m2</v>
      </c>
      <c r="E3553" s="290"/>
      <c r="F3553" s="259" t="s">
        <v>2049</v>
      </c>
      <c r="G3553" s="312" t="s">
        <v>1079</v>
      </c>
      <c r="H3553" s="261"/>
      <c r="I3553" s="261" t="str">
        <f>IF(ISNUMBER(G3553),E3553*G3553,"")</f>
        <v/>
      </c>
      <c r="J3553" s="280"/>
      <c r="K3553" s="18"/>
      <c r="L3553" s="174">
        <v>3</v>
      </c>
    </row>
    <row r="3554" spans="1:12" x14ac:dyDescent="0.25">
      <c r="A3554" s="300"/>
      <c r="B3554" s="292"/>
      <c r="C3554" s="155"/>
      <c r="D3554" s="155"/>
      <c r="E3554" s="293"/>
      <c r="F3554" s="294"/>
      <c r="G3554" s="313" t="s">
        <v>1079</v>
      </c>
      <c r="H3554" s="155"/>
      <c r="I3554" s="313" t="str">
        <f>IF(ISNUMBER(G3554),E3554*G3554,"")</f>
        <v/>
      </c>
      <c r="J3554" s="314"/>
      <c r="K3554" s="70"/>
      <c r="L3554" s="174">
        <v>3</v>
      </c>
    </row>
    <row r="3555" spans="1:12" ht="38.25" x14ac:dyDescent="0.25">
      <c r="A3555" s="300"/>
      <c r="B3555" s="292"/>
      <c r="C3555" s="105" t="s">
        <v>2050</v>
      </c>
      <c r="D3555" s="271" t="s">
        <v>1795</v>
      </c>
      <c r="E3555" s="250">
        <v>1</v>
      </c>
      <c r="F3555" s="176" t="s">
        <v>2049</v>
      </c>
      <c r="G3555" s="313">
        <v>266.76949999999999</v>
      </c>
      <c r="H3555" s="176" t="s">
        <v>2051</v>
      </c>
      <c r="I3555" s="313">
        <f>IF(ISNUMBER(G3555),E3555*G3555,"")</f>
        <v>266.76949999999999</v>
      </c>
      <c r="J3555" s="295">
        <f>SUM(I3555:I3559)</f>
        <v>332.80678065000001</v>
      </c>
      <c r="K3555" s="29"/>
      <c r="L3555" s="174">
        <v>3</v>
      </c>
    </row>
    <row r="3556" spans="1:12" ht="38.25" x14ac:dyDescent="0.25">
      <c r="A3556" s="300"/>
      <c r="B3556" s="292"/>
      <c r="C3556" s="105" t="s">
        <v>2052</v>
      </c>
      <c r="D3556" s="271" t="s">
        <v>588</v>
      </c>
      <c r="E3556" s="250">
        <v>24.4</v>
      </c>
      <c r="F3556" s="176" t="s">
        <v>2049</v>
      </c>
      <c r="G3556" s="313">
        <v>0.13300000000000001</v>
      </c>
      <c r="H3556" s="176" t="s">
        <v>2053</v>
      </c>
      <c r="I3556" s="313">
        <f>IF(ISNUMBER(G3556),E3556*G3556,"")</f>
        <v>3.2452000000000001</v>
      </c>
      <c r="J3556" s="314"/>
      <c r="K3556" s="70"/>
      <c r="L3556" s="174">
        <v>3</v>
      </c>
    </row>
    <row r="3557" spans="1:12" x14ac:dyDescent="0.25">
      <c r="A3557" s="300"/>
      <c r="B3557" s="292"/>
      <c r="C3557" s="105" t="s">
        <v>2034</v>
      </c>
      <c r="D3557" s="105" t="s">
        <v>588</v>
      </c>
      <c r="E3557" s="250">
        <v>1.2466999999999999</v>
      </c>
      <c r="F3557" s="176" t="s">
        <v>2049</v>
      </c>
      <c r="G3557" s="313">
        <v>14.354499999999998</v>
      </c>
      <c r="H3557" s="176" t="s">
        <v>622</v>
      </c>
      <c r="I3557" s="313">
        <f>IF(ISNUMBER(G3557),E3557*G3557,"")</f>
        <v>17.895755149999996</v>
      </c>
      <c r="J3557" s="314"/>
      <c r="K3557" s="70"/>
      <c r="L3557" s="174">
        <v>3</v>
      </c>
    </row>
    <row r="3558" spans="1:12" x14ac:dyDescent="0.25">
      <c r="A3558" s="300"/>
      <c r="B3558" s="292"/>
      <c r="C3558" s="105" t="s">
        <v>1389</v>
      </c>
      <c r="D3558" s="105" t="s">
        <v>1366</v>
      </c>
      <c r="E3558" s="250">
        <v>1.7070000000000001</v>
      </c>
      <c r="F3558" s="176" t="s">
        <v>2049</v>
      </c>
      <c r="G3558" s="313">
        <v>19.142499999999998</v>
      </c>
      <c r="H3558" s="176" t="s">
        <v>37</v>
      </c>
      <c r="I3558" s="313">
        <f>IF(ISNUMBER(G3558),E3558*G3558,"")</f>
        <v>32.676247499999995</v>
      </c>
      <c r="J3558" s="314"/>
      <c r="K3558" s="70"/>
      <c r="L3558" s="174">
        <v>3</v>
      </c>
    </row>
    <row r="3559" spans="1:12" x14ac:dyDescent="0.25">
      <c r="A3559" s="300"/>
      <c r="B3559" s="292"/>
      <c r="C3559" s="105" t="s">
        <v>1367</v>
      </c>
      <c r="D3559" s="271" t="s">
        <v>1366</v>
      </c>
      <c r="E3559" s="250">
        <v>0.85299999999999998</v>
      </c>
      <c r="F3559" s="176" t="s">
        <v>2049</v>
      </c>
      <c r="G3559" s="313">
        <v>14.325999999999999</v>
      </c>
      <c r="H3559" s="176" t="s">
        <v>39</v>
      </c>
      <c r="I3559" s="313">
        <f>IF(ISNUMBER(G3559),E3559*G3559,"")</f>
        <v>12.220077999999999</v>
      </c>
      <c r="J3559" s="314"/>
      <c r="K3559" s="70"/>
      <c r="L3559" s="174">
        <v>3</v>
      </c>
    </row>
    <row r="3560" spans="1:12" ht="15.75" thickBot="1" x14ac:dyDescent="0.3">
      <c r="A3560" s="300"/>
      <c r="B3560" s="292"/>
      <c r="C3560" s="105"/>
      <c r="D3560" s="271"/>
      <c r="E3560" s="250"/>
      <c r="F3560" s="176"/>
      <c r="G3560" s="313" t="s">
        <v>1079</v>
      </c>
      <c r="H3560" s="176"/>
      <c r="I3560" s="313" t="str">
        <f>IF(ISNUMBER(G3560),E3560*G3560,"")</f>
        <v/>
      </c>
      <c r="J3560" s="314"/>
      <c r="K3560" s="70"/>
      <c r="L3560" s="174">
        <v>3</v>
      </c>
    </row>
    <row r="3561" spans="1:12" ht="15.75" thickBot="1" x14ac:dyDescent="0.3">
      <c r="A3561" s="288" t="s">
        <v>2054</v>
      </c>
      <c r="B3561" s="289" t="str">
        <f>INDEX(Orçamentária!A:B,MATCH(Composições!A3561,Orçamentária!A:A,0),2)</f>
        <v>Porta metálica de enrolar</v>
      </c>
      <c r="C3561" s="274"/>
      <c r="D3561" s="265" t="str">
        <f>TRIM(INDEX(Orçamentária!C:C,MATCH(Composições!A3561,Orçamentária!A:A,0),1))</f>
        <v>m2</v>
      </c>
      <c r="E3561" s="290"/>
      <c r="F3561" s="259" t="s">
        <v>2055</v>
      </c>
      <c r="G3561" s="312" t="s">
        <v>1079</v>
      </c>
      <c r="H3561" s="261"/>
      <c r="I3561" s="261" t="str">
        <f>IF(ISNUMBER(G3561),E3561*G3561,"")</f>
        <v/>
      </c>
      <c r="J3561" s="280"/>
      <c r="K3561" s="18"/>
      <c r="L3561" s="174">
        <v>22.7</v>
      </c>
    </row>
    <row r="3562" spans="1:12" x14ac:dyDescent="0.25">
      <c r="A3562" s="300"/>
      <c r="B3562" s="292"/>
      <c r="C3562" s="155"/>
      <c r="D3562" s="155"/>
      <c r="E3562" s="293"/>
      <c r="F3562" s="294"/>
      <c r="G3562" s="313" t="s">
        <v>1079</v>
      </c>
      <c r="H3562" s="155"/>
      <c r="I3562" s="313" t="str">
        <f>IF(ISNUMBER(G3562),E3562*G3562,"")</f>
        <v/>
      </c>
      <c r="J3562" s="314"/>
      <c r="K3562" s="70"/>
      <c r="L3562" s="174">
        <v>22.7</v>
      </c>
    </row>
    <row r="3563" spans="1:12" ht="38.25" x14ac:dyDescent="0.25">
      <c r="A3563" s="300"/>
      <c r="B3563" s="292"/>
      <c r="C3563" s="105" t="s">
        <v>2056</v>
      </c>
      <c r="D3563" s="271" t="s">
        <v>1795</v>
      </c>
      <c r="E3563" s="250">
        <v>1</v>
      </c>
      <c r="F3563" s="176" t="s">
        <v>2057</v>
      </c>
      <c r="G3563" s="313">
        <v>192.85</v>
      </c>
      <c r="H3563" s="176" t="s">
        <v>2058</v>
      </c>
      <c r="I3563" s="313">
        <f>IF(ISNUMBER(G3563),E3563*G3563,"")</f>
        <v>192.85</v>
      </c>
      <c r="J3563" s="295">
        <f>SUM(I3563:I3569)</f>
        <v>229.40130690499998</v>
      </c>
      <c r="K3563" s="29"/>
      <c r="L3563" s="174">
        <v>22.7</v>
      </c>
    </row>
    <row r="3564" spans="1:12" x14ac:dyDescent="0.25">
      <c r="A3564" s="300"/>
      <c r="B3564" s="292"/>
      <c r="C3564" s="105" t="s">
        <v>1389</v>
      </c>
      <c r="D3564" s="271" t="s">
        <v>1366</v>
      </c>
      <c r="E3564" s="250">
        <v>1</v>
      </c>
      <c r="F3564" s="176" t="s">
        <v>2057</v>
      </c>
      <c r="G3564" s="313">
        <v>19.142499999999998</v>
      </c>
      <c r="H3564" s="176" t="s">
        <v>37</v>
      </c>
      <c r="I3564" s="313">
        <f>IF(ISNUMBER(G3564),E3564*G3564,"")</f>
        <v>19.142499999999998</v>
      </c>
      <c r="J3564" s="314"/>
      <c r="K3564" s="70"/>
      <c r="L3564" s="174">
        <v>22.7</v>
      </c>
    </row>
    <row r="3565" spans="1:12" x14ac:dyDescent="0.25">
      <c r="A3565" s="300"/>
      <c r="B3565" s="292"/>
      <c r="C3565" s="105" t="s">
        <v>1367</v>
      </c>
      <c r="D3565" s="105" t="s">
        <v>1366</v>
      </c>
      <c r="E3565" s="250">
        <v>1.1000000000000001</v>
      </c>
      <c r="F3565" s="176" t="s">
        <v>2057</v>
      </c>
      <c r="G3565" s="313">
        <v>14.325999999999999</v>
      </c>
      <c r="H3565" s="176" t="s">
        <v>39</v>
      </c>
      <c r="I3565" s="313">
        <f>IF(ISNUMBER(G3565),E3565*G3565,"")</f>
        <v>15.758599999999999</v>
      </c>
      <c r="J3565" s="314"/>
      <c r="K3565" s="70"/>
      <c r="L3565" s="174">
        <v>22.7</v>
      </c>
    </row>
    <row r="3566" spans="1:12" ht="25.5" x14ac:dyDescent="0.25">
      <c r="A3566" s="300"/>
      <c r="B3566" s="292"/>
      <c r="C3566" s="105" t="s">
        <v>1455</v>
      </c>
      <c r="D3566" s="271" t="s">
        <v>252</v>
      </c>
      <c r="E3566" s="250">
        <v>1.2999999999999999E-2</v>
      </c>
      <c r="F3566" s="176" t="s">
        <v>2057</v>
      </c>
      <c r="G3566" s="313">
        <v>93.8125</v>
      </c>
      <c r="H3566" s="176" t="s">
        <v>240</v>
      </c>
      <c r="I3566" s="313">
        <f>IF(ISNUMBER(G3566),E3566*G3566,"")</f>
        <v>1.2195624999999999</v>
      </c>
      <c r="J3566" s="314"/>
      <c r="K3566" s="70"/>
      <c r="L3566" s="174">
        <v>22.7</v>
      </c>
    </row>
    <row r="3567" spans="1:12" x14ac:dyDescent="0.25">
      <c r="A3567" s="300"/>
      <c r="B3567" s="292"/>
      <c r="C3567" s="105" t="s">
        <v>1448</v>
      </c>
      <c r="D3567" s="271" t="s">
        <v>1629</v>
      </c>
      <c r="E3567" s="250">
        <v>0.4</v>
      </c>
      <c r="F3567" s="176" t="s">
        <v>2057</v>
      </c>
      <c r="G3567" s="313">
        <v>0.38</v>
      </c>
      <c r="H3567" s="176" t="s">
        <v>242</v>
      </c>
      <c r="I3567" s="313">
        <f>IF(ISNUMBER(G3567),E3567*G3567,"")</f>
        <v>0.15200000000000002</v>
      </c>
      <c r="J3567" s="314"/>
      <c r="K3567" s="70"/>
      <c r="L3567" s="174">
        <v>22.7</v>
      </c>
    </row>
    <row r="3568" spans="1:12" ht="38.25" x14ac:dyDescent="0.25">
      <c r="A3568" s="300"/>
      <c r="B3568" s="292"/>
      <c r="C3568" s="105" t="s">
        <v>251</v>
      </c>
      <c r="D3568" s="105" t="s">
        <v>228</v>
      </c>
      <c r="E3568" s="250">
        <f>1*E3566</f>
        <v>1.2999999999999999E-2</v>
      </c>
      <c r="F3568" s="176" t="s">
        <v>17</v>
      </c>
      <c r="G3568" s="258">
        <v>0.72471700000000006</v>
      </c>
      <c r="H3568" s="176" t="s">
        <v>253</v>
      </c>
      <c r="I3568" s="258">
        <f>IF(ISNUMBER(G3568),E3568*G3568,"")</f>
        <v>9.4213209999999999E-3</v>
      </c>
      <c r="J3568" s="281"/>
      <c r="K3568" s="19"/>
      <c r="L3568" s="174">
        <v>22.7</v>
      </c>
    </row>
    <row r="3569" spans="1:12" ht="38.25" x14ac:dyDescent="0.25">
      <c r="A3569" s="300"/>
      <c r="B3569" s="292"/>
      <c r="C3569" s="105" t="s">
        <v>254</v>
      </c>
      <c r="D3569" s="271" t="s">
        <v>255</v>
      </c>
      <c r="E3569" s="250">
        <f>E3566*20</f>
        <v>0.26</v>
      </c>
      <c r="F3569" s="176" t="s">
        <v>17</v>
      </c>
      <c r="G3569" s="313">
        <v>1.0354733999999999</v>
      </c>
      <c r="H3569" s="176" t="s">
        <v>256</v>
      </c>
      <c r="I3569" s="313">
        <f>IF(ISNUMBER(G3569),E3569*G3569,"")</f>
        <v>0.269223084</v>
      </c>
      <c r="J3569" s="314"/>
      <c r="K3569" s="70"/>
      <c r="L3569" s="174">
        <v>22.7</v>
      </c>
    </row>
    <row r="3570" spans="1:12" x14ac:dyDescent="0.25">
      <c r="A3570" s="300"/>
      <c r="B3570" s="292"/>
      <c r="C3570" s="303"/>
      <c r="D3570" s="271"/>
      <c r="E3570" s="250"/>
      <c r="F3570" s="176"/>
      <c r="G3570" s="313" t="s">
        <v>1079</v>
      </c>
      <c r="H3570" s="176"/>
      <c r="I3570" s="313" t="str">
        <f>IF(ISNUMBER(G3570),E3570*G3570,"")</f>
        <v/>
      </c>
      <c r="J3570" s="314"/>
      <c r="K3570" s="70"/>
      <c r="L3570" s="174">
        <v>22.7</v>
      </c>
    </row>
    <row r="3571" spans="1:12" x14ac:dyDescent="0.25">
      <c r="A3571" s="300"/>
      <c r="B3571" s="292"/>
      <c r="C3571" s="2" t="s">
        <v>1459</v>
      </c>
      <c r="D3571" s="271"/>
      <c r="E3571" s="250"/>
      <c r="F3571" s="176"/>
      <c r="G3571" s="313" t="s">
        <v>1079</v>
      </c>
      <c r="H3571" s="176"/>
      <c r="I3571" s="313" t="str">
        <f>IF(ISNUMBER(G3571),E3571*G3571,"")</f>
        <v/>
      </c>
      <c r="J3571" s="314"/>
      <c r="K3571" s="70"/>
      <c r="L3571" s="174">
        <v>22.7</v>
      </c>
    </row>
    <row r="3572" spans="1:12" ht="15.75" thickBot="1" x14ac:dyDescent="0.3">
      <c r="A3572" s="301"/>
      <c r="B3572" s="297"/>
      <c r="C3572" s="2"/>
      <c r="D3572" s="271"/>
      <c r="E3572" s="250"/>
      <c r="F3572" s="176"/>
      <c r="G3572" s="313" t="s">
        <v>1079</v>
      </c>
      <c r="H3572" s="176"/>
      <c r="I3572" s="313" t="str">
        <f>IF(ISNUMBER(G3572),E3572*G3572,"")</f>
        <v/>
      </c>
      <c r="J3572" s="314"/>
      <c r="K3572" s="70"/>
      <c r="L3572" s="174">
        <v>22.7</v>
      </c>
    </row>
    <row r="3573" spans="1:12" ht="15.75" thickBot="1" x14ac:dyDescent="0.3">
      <c r="A3573" s="288" t="s">
        <v>2059</v>
      </c>
      <c r="B3573" s="289" t="str">
        <f>INDEX(Orçamentária!A:B,MATCH(Composições!A3573,Orçamentária!A:A,0),2)</f>
        <v>Medidor de Gás</v>
      </c>
      <c r="C3573" s="274"/>
      <c r="D3573" s="265" t="str">
        <f>TRIM(INDEX(Orçamentária!C:C,MATCH(Composições!A3573,Orçamentária!A:A,0),1))</f>
        <v>un</v>
      </c>
      <c r="E3573" s="290"/>
      <c r="F3573" s="259" t="s">
        <v>2060</v>
      </c>
      <c r="G3573" s="312" t="s">
        <v>1079</v>
      </c>
      <c r="H3573" s="261"/>
      <c r="I3573" s="261" t="str">
        <f>IF(ISNUMBER(G3573),E3573*G3573,"")</f>
        <v/>
      </c>
      <c r="J3573" s="280"/>
      <c r="K3573" s="18"/>
      <c r="L3573" s="174">
        <v>4</v>
      </c>
    </row>
    <row r="3574" spans="1:12" x14ac:dyDescent="0.25">
      <c r="A3574" s="300"/>
      <c r="B3574" s="292"/>
      <c r="C3574" s="155"/>
      <c r="D3574" s="155"/>
      <c r="E3574" s="293"/>
      <c r="F3574" s="294"/>
      <c r="G3574" s="313" t="s">
        <v>1079</v>
      </c>
      <c r="H3574" s="155"/>
      <c r="I3574" s="313" t="str">
        <f>IF(ISNUMBER(G3574),E3574*G3574,"")</f>
        <v/>
      </c>
      <c r="J3574" s="314"/>
      <c r="K3574" s="70"/>
      <c r="L3574" s="174">
        <v>4</v>
      </c>
    </row>
    <row r="3575" spans="1:12" x14ac:dyDescent="0.25">
      <c r="A3575" s="300"/>
      <c r="B3575" s="292"/>
      <c r="C3575" s="105" t="s">
        <v>689</v>
      </c>
      <c r="D3575" s="271" t="s">
        <v>588</v>
      </c>
      <c r="E3575" s="250">
        <v>0.20519999999999999</v>
      </c>
      <c r="F3575" s="176" t="s">
        <v>2061</v>
      </c>
      <c r="G3575" s="313">
        <v>10.677999999999999</v>
      </c>
      <c r="H3575" s="176" t="s">
        <v>690</v>
      </c>
      <c r="I3575" s="313">
        <f>IF(ISNUMBER(G3575),E3575*G3575,"")</f>
        <v>2.1911255999999999</v>
      </c>
      <c r="J3575" s="295">
        <f>SUM(I3575:I3586)</f>
        <v>1682.1884725499999</v>
      </c>
      <c r="K3575" s="29"/>
      <c r="L3575" s="174">
        <v>4</v>
      </c>
    </row>
    <row r="3576" spans="1:12" ht="25.5" x14ac:dyDescent="0.25">
      <c r="A3576" s="300"/>
      <c r="B3576" s="292"/>
      <c r="C3576" s="105" t="s">
        <v>2062</v>
      </c>
      <c r="D3576" s="271" t="s">
        <v>588</v>
      </c>
      <c r="E3576" s="250">
        <v>2</v>
      </c>
      <c r="F3576" s="176" t="s">
        <v>2061</v>
      </c>
      <c r="G3576" s="313">
        <v>8.6354999999999986</v>
      </c>
      <c r="H3576" s="176" t="s">
        <v>2063</v>
      </c>
      <c r="I3576" s="313">
        <f>IF(ISNUMBER(G3576),E3576*G3576,"")</f>
        <v>17.270999999999997</v>
      </c>
      <c r="J3576" s="314"/>
      <c r="K3576" s="70"/>
      <c r="L3576" s="174">
        <v>4</v>
      </c>
    </row>
    <row r="3577" spans="1:12" x14ac:dyDescent="0.25">
      <c r="A3577" s="300"/>
      <c r="B3577" s="292"/>
      <c r="C3577" s="105" t="s">
        <v>2064</v>
      </c>
      <c r="D3577" s="271" t="s">
        <v>588</v>
      </c>
      <c r="E3577" s="250">
        <v>4</v>
      </c>
      <c r="F3577" s="176" t="s">
        <v>2061</v>
      </c>
      <c r="G3577" s="313">
        <v>6.4029999999999996</v>
      </c>
      <c r="H3577" s="176" t="s">
        <v>2065</v>
      </c>
      <c r="I3577" s="313">
        <f>IF(ISNUMBER(G3577),E3577*G3577,"")</f>
        <v>25.611999999999998</v>
      </c>
      <c r="J3577" s="314"/>
      <c r="K3577" s="70"/>
      <c r="L3577" s="174">
        <v>4</v>
      </c>
    </row>
    <row r="3578" spans="1:12" x14ac:dyDescent="0.25">
      <c r="A3578" s="300"/>
      <c r="B3578" s="292"/>
      <c r="C3578" s="105" t="s">
        <v>2066</v>
      </c>
      <c r="D3578" s="271" t="s">
        <v>588</v>
      </c>
      <c r="E3578" s="250">
        <v>2</v>
      </c>
      <c r="F3578" s="176" t="s">
        <v>2061</v>
      </c>
      <c r="G3578" s="313">
        <v>2.2799999999999998</v>
      </c>
      <c r="H3578" s="176" t="s">
        <v>2067</v>
      </c>
      <c r="I3578" s="313">
        <f>IF(ISNUMBER(G3578),E3578*G3578,"")</f>
        <v>4.5599999999999996</v>
      </c>
      <c r="J3578" s="314"/>
      <c r="K3578" s="70"/>
      <c r="L3578" s="174">
        <v>4</v>
      </c>
    </row>
    <row r="3579" spans="1:12" ht="25.5" x14ac:dyDescent="0.25">
      <c r="A3579" s="300"/>
      <c r="B3579" s="292"/>
      <c r="C3579" s="105" t="s">
        <v>2068</v>
      </c>
      <c r="D3579" s="271" t="s">
        <v>588</v>
      </c>
      <c r="E3579" s="250">
        <v>2</v>
      </c>
      <c r="F3579" s="176" t="s">
        <v>2061</v>
      </c>
      <c r="G3579" s="313">
        <v>14.050499999999998</v>
      </c>
      <c r="H3579" s="176" t="s">
        <v>2069</v>
      </c>
      <c r="I3579" s="313">
        <f>IF(ISNUMBER(G3579),E3579*G3579,"")</f>
        <v>28.100999999999996</v>
      </c>
      <c r="J3579" s="314"/>
      <c r="K3579" s="70"/>
      <c r="L3579" s="174">
        <v>4</v>
      </c>
    </row>
    <row r="3580" spans="1:12" ht="25.5" x14ac:dyDescent="0.25">
      <c r="A3580" s="300"/>
      <c r="B3580" s="292"/>
      <c r="C3580" s="105" t="s">
        <v>2070</v>
      </c>
      <c r="D3580" s="271" t="s">
        <v>588</v>
      </c>
      <c r="E3580" s="250">
        <v>1</v>
      </c>
      <c r="F3580" s="176" t="s">
        <v>2061</v>
      </c>
      <c r="G3580" s="313">
        <v>18.439499999999999</v>
      </c>
      <c r="H3580" s="176" t="s">
        <v>2071</v>
      </c>
      <c r="I3580" s="313">
        <f>IF(ISNUMBER(G3580),E3580*G3580,"")</f>
        <v>18.439499999999999</v>
      </c>
      <c r="J3580" s="314"/>
      <c r="K3580" s="70"/>
      <c r="L3580" s="174">
        <v>4</v>
      </c>
    </row>
    <row r="3581" spans="1:12" x14ac:dyDescent="0.25">
      <c r="A3581" s="300"/>
      <c r="B3581" s="292"/>
      <c r="C3581" s="105" t="s">
        <v>2072</v>
      </c>
      <c r="D3581" s="271" t="s">
        <v>588</v>
      </c>
      <c r="E3581" s="250">
        <v>3</v>
      </c>
      <c r="F3581" s="176" t="s">
        <v>2061</v>
      </c>
      <c r="G3581" s="313">
        <v>60.457999999999998</v>
      </c>
      <c r="H3581" s="176" t="s">
        <v>1253</v>
      </c>
      <c r="I3581" s="313">
        <f>IF(ISNUMBER(G3581),E3581*G3581,"")</f>
        <v>181.374</v>
      </c>
      <c r="J3581" s="314"/>
      <c r="K3581" s="70"/>
      <c r="L3581" s="174">
        <v>4</v>
      </c>
    </row>
    <row r="3582" spans="1:12" x14ac:dyDescent="0.25">
      <c r="A3582" s="300"/>
      <c r="B3582" s="292"/>
      <c r="C3582" s="105" t="s">
        <v>2073</v>
      </c>
      <c r="D3582" s="271" t="s">
        <v>588</v>
      </c>
      <c r="E3582" s="250">
        <v>2</v>
      </c>
      <c r="F3582" s="176" t="s">
        <v>2061</v>
      </c>
      <c r="G3582" s="313">
        <v>38.798000000000002</v>
      </c>
      <c r="H3582" s="176" t="s">
        <v>2074</v>
      </c>
      <c r="I3582" s="313">
        <f>IF(ISNUMBER(G3582),E3582*G3582,"")</f>
        <v>77.596000000000004</v>
      </c>
      <c r="J3582" s="314"/>
      <c r="K3582" s="70"/>
      <c r="L3582" s="174">
        <v>4</v>
      </c>
    </row>
    <row r="3583" spans="1:12" ht="25.5" x14ac:dyDescent="0.25">
      <c r="A3583" s="300"/>
      <c r="B3583" s="292"/>
      <c r="C3583" s="105" t="s">
        <v>2075</v>
      </c>
      <c r="D3583" s="271" t="s">
        <v>988</v>
      </c>
      <c r="E3583" s="250">
        <v>0.72729999999999995</v>
      </c>
      <c r="F3583" s="176" t="s">
        <v>2061</v>
      </c>
      <c r="G3583" s="313">
        <v>22.828499999999998</v>
      </c>
      <c r="H3583" s="176" t="s">
        <v>2076</v>
      </c>
      <c r="I3583" s="313">
        <f>IF(ISNUMBER(G3583),E3583*G3583,"")</f>
        <v>16.603168049999997</v>
      </c>
      <c r="J3583" s="314"/>
      <c r="K3583" s="70"/>
      <c r="L3583" s="174">
        <v>4</v>
      </c>
    </row>
    <row r="3584" spans="1:12" ht="25.5" x14ac:dyDescent="0.25">
      <c r="A3584" s="300"/>
      <c r="B3584" s="292"/>
      <c r="C3584" s="105" t="s">
        <v>1712</v>
      </c>
      <c r="D3584" s="271" t="s">
        <v>1366</v>
      </c>
      <c r="E3584" s="250">
        <v>1.6462000000000001</v>
      </c>
      <c r="F3584" s="176" t="s">
        <v>2061</v>
      </c>
      <c r="G3584" s="313">
        <v>14.772500000000001</v>
      </c>
      <c r="H3584" s="176" t="s">
        <v>226</v>
      </c>
      <c r="I3584" s="313">
        <f>IF(ISNUMBER(G3584),E3584*G3584,"")</f>
        <v>24.318489500000002</v>
      </c>
      <c r="J3584" s="314"/>
      <c r="K3584" s="70"/>
      <c r="L3584" s="174">
        <v>4</v>
      </c>
    </row>
    <row r="3585" spans="1:12" ht="25.5" x14ac:dyDescent="0.25">
      <c r="A3585" s="300"/>
      <c r="B3585" s="292"/>
      <c r="C3585" s="105" t="s">
        <v>1713</v>
      </c>
      <c r="D3585" s="271" t="s">
        <v>1366</v>
      </c>
      <c r="E3585" s="250">
        <v>5.4324000000000003</v>
      </c>
      <c r="F3585" s="176" t="s">
        <v>2061</v>
      </c>
      <c r="G3585" s="313">
        <v>18.743500000000001</v>
      </c>
      <c r="H3585" s="176" t="s">
        <v>71</v>
      </c>
      <c r="I3585" s="313">
        <f>IF(ISNUMBER(G3585),E3585*G3585,"")</f>
        <v>101.82218940000001</v>
      </c>
      <c r="J3585" s="314"/>
      <c r="K3585" s="70"/>
      <c r="L3585" s="174">
        <v>4</v>
      </c>
    </row>
    <row r="3586" spans="1:12" x14ac:dyDescent="0.25">
      <c r="A3586" s="300"/>
      <c r="B3586" s="292"/>
      <c r="C3586" s="105" t="s">
        <v>2077</v>
      </c>
      <c r="D3586" s="271" t="s">
        <v>588</v>
      </c>
      <c r="E3586" s="250">
        <v>1</v>
      </c>
      <c r="F3586" s="176" t="s">
        <v>17</v>
      </c>
      <c r="G3586" s="313">
        <v>1184.3</v>
      </c>
      <c r="H3586" s="176" t="s">
        <v>33</v>
      </c>
      <c r="I3586" s="313">
        <f>IF(ISNUMBER(G3586),E3586*G3586,"")</f>
        <v>1184.3</v>
      </c>
      <c r="J3586" s="314"/>
      <c r="K3586" s="70"/>
      <c r="L3586" s="174">
        <v>4</v>
      </c>
    </row>
    <row r="3587" spans="1:12" ht="15.75" thickBot="1" x14ac:dyDescent="0.3">
      <c r="A3587" s="300"/>
      <c r="B3587" s="292"/>
      <c r="C3587" s="275"/>
      <c r="D3587" s="275"/>
      <c r="E3587" s="310"/>
      <c r="F3587" s="263"/>
      <c r="G3587" s="315" t="s">
        <v>1079</v>
      </c>
      <c r="H3587" s="263"/>
      <c r="I3587" s="315" t="str">
        <f>IF(ISNUMBER(G3587),E3587*G3587,"")</f>
        <v/>
      </c>
      <c r="J3587" s="316"/>
      <c r="K3587" s="70"/>
      <c r="L3587" s="174">
        <v>4</v>
      </c>
    </row>
    <row r="3588" spans="1:12" ht="15.75" thickBot="1" x14ac:dyDescent="0.3">
      <c r="A3588" s="288" t="s">
        <v>2078</v>
      </c>
      <c r="B3588" s="289" t="str">
        <f>INDEX(Orçamentária!A:B,MATCH(Composições!A3588,Orçamentária!A:A,0),2)</f>
        <v>Registro Esfera para Gás 3/4”</v>
      </c>
      <c r="C3588" s="274"/>
      <c r="D3588" s="265" t="str">
        <f>TRIM(INDEX(Orçamentária!C:C,MATCH(Composições!A3588,Orçamentária!A:A,0),1))</f>
        <v>un</v>
      </c>
      <c r="E3588" s="290"/>
      <c r="F3588" s="311" t="s">
        <v>2079</v>
      </c>
      <c r="G3588" s="312" t="s">
        <v>1079</v>
      </c>
      <c r="H3588" s="261"/>
      <c r="I3588" s="261" t="str">
        <f>IF(ISNUMBER(G3588),E3588*G3588,"")</f>
        <v/>
      </c>
      <c r="J3588" s="280"/>
      <c r="K3588" s="18"/>
      <c r="L3588" s="174">
        <v>9</v>
      </c>
    </row>
    <row r="3589" spans="1:12" x14ac:dyDescent="0.25">
      <c r="A3589" s="300"/>
      <c r="B3589" s="292"/>
      <c r="C3589" s="155"/>
      <c r="D3589" s="155"/>
      <c r="E3589" s="293"/>
      <c r="F3589" s="294"/>
      <c r="G3589" s="313" t="s">
        <v>1079</v>
      </c>
      <c r="H3589" s="155"/>
      <c r="I3589" s="313" t="str">
        <f>IF(ISNUMBER(G3589),E3589*G3589,"")</f>
        <v/>
      </c>
      <c r="J3589" s="314"/>
      <c r="K3589" s="70"/>
      <c r="L3589" s="174">
        <v>9</v>
      </c>
    </row>
    <row r="3590" spans="1:12" x14ac:dyDescent="0.25">
      <c r="A3590" s="300"/>
      <c r="B3590" s="292"/>
      <c r="C3590" s="105" t="s">
        <v>689</v>
      </c>
      <c r="D3590" s="105" t="s">
        <v>588</v>
      </c>
      <c r="E3590" s="250">
        <v>1.2999999999999999E-2</v>
      </c>
      <c r="F3590" s="176" t="s">
        <v>2080</v>
      </c>
      <c r="G3590" s="313">
        <v>10.677999999999999</v>
      </c>
      <c r="H3590" s="176" t="s">
        <v>690</v>
      </c>
      <c r="I3590" s="313">
        <f>IF(ISNUMBER(G3590),E3590*G3590,"")</f>
        <v>0.13881399999999999</v>
      </c>
      <c r="J3590" s="295">
        <f>SUM(I3590:I3593)</f>
        <v>193.162014</v>
      </c>
      <c r="K3590" s="29"/>
      <c r="L3590" s="174">
        <v>9</v>
      </c>
    </row>
    <row r="3591" spans="1:12" x14ac:dyDescent="0.25">
      <c r="A3591" s="300"/>
      <c r="B3591" s="292"/>
      <c r="C3591" s="105" t="s">
        <v>2081</v>
      </c>
      <c r="D3591" s="105" t="s">
        <v>588</v>
      </c>
      <c r="E3591" s="250">
        <v>1</v>
      </c>
      <c r="F3591" s="176" t="s">
        <v>2080</v>
      </c>
      <c r="G3591" s="313">
        <v>186.32</v>
      </c>
      <c r="H3591" s="176" t="s">
        <v>33</v>
      </c>
      <c r="I3591" s="313">
        <f>IF(ISNUMBER(G3591),E3591*G3591,"")</f>
        <v>186.32</v>
      </c>
      <c r="J3591" s="314"/>
      <c r="K3591" s="70"/>
      <c r="L3591" s="174">
        <v>9</v>
      </c>
    </row>
    <row r="3592" spans="1:12" ht="25.5" x14ac:dyDescent="0.25">
      <c r="A3592" s="300"/>
      <c r="B3592" s="292"/>
      <c r="C3592" s="105" t="s">
        <v>1712</v>
      </c>
      <c r="D3592" s="105" t="s">
        <v>1366</v>
      </c>
      <c r="E3592" s="250">
        <v>0.2</v>
      </c>
      <c r="F3592" s="176" t="s">
        <v>2080</v>
      </c>
      <c r="G3592" s="313">
        <v>14.772500000000001</v>
      </c>
      <c r="H3592" s="176" t="s">
        <v>226</v>
      </c>
      <c r="I3592" s="313">
        <f>IF(ISNUMBER(G3592),E3592*G3592,"")</f>
        <v>2.9545000000000003</v>
      </c>
      <c r="J3592" s="314"/>
      <c r="K3592" s="70"/>
      <c r="L3592" s="174">
        <v>9</v>
      </c>
    </row>
    <row r="3593" spans="1:12" ht="25.5" x14ac:dyDescent="0.25">
      <c r="A3593" s="300"/>
      <c r="B3593" s="292"/>
      <c r="C3593" s="105" t="s">
        <v>1713</v>
      </c>
      <c r="D3593" s="105" t="s">
        <v>1366</v>
      </c>
      <c r="E3593" s="250">
        <v>0.2</v>
      </c>
      <c r="F3593" s="176" t="s">
        <v>2080</v>
      </c>
      <c r="G3593" s="313">
        <v>18.743500000000001</v>
      </c>
      <c r="H3593" s="176" t="s">
        <v>71</v>
      </c>
      <c r="I3593" s="313">
        <f>IF(ISNUMBER(G3593),E3593*G3593,"")</f>
        <v>3.7487000000000004</v>
      </c>
      <c r="J3593" s="314"/>
      <c r="K3593" s="70"/>
      <c r="L3593" s="174">
        <v>9</v>
      </c>
    </row>
    <row r="3594" spans="1:12" ht="15.75" thickBot="1" x14ac:dyDescent="0.3">
      <c r="A3594" s="300"/>
      <c r="B3594" s="292"/>
      <c r="C3594" s="275"/>
      <c r="D3594" s="275"/>
      <c r="E3594" s="310"/>
      <c r="F3594" s="263"/>
      <c r="G3594" s="315" t="s">
        <v>1079</v>
      </c>
      <c r="H3594" s="263"/>
      <c r="I3594" s="315" t="str">
        <f>IF(ISNUMBER(G3594),E3594*G3594,"")</f>
        <v/>
      </c>
      <c r="J3594" s="316"/>
      <c r="K3594" s="70"/>
      <c r="L3594" s="174">
        <v>9</v>
      </c>
    </row>
    <row r="3595" spans="1:12" ht="15.75" thickBot="1" x14ac:dyDescent="0.3">
      <c r="A3595" s="288" t="s">
        <v>2082</v>
      </c>
      <c r="B3595" s="289" t="str">
        <f>INDEX(Orçamentária!A:B,MATCH(Composições!A3595,Orçamentária!A:A,0),2)</f>
        <v>Placa de Concreto Pré-Moldado 15 Mpa</v>
      </c>
      <c r="C3595" s="274"/>
      <c r="D3595" s="265" t="str">
        <f>TRIM(INDEX(Orçamentária!C:C,MATCH(Composições!A3595,Orçamentária!A:A,0),1))</f>
        <v>m3</v>
      </c>
      <c r="E3595" s="290"/>
      <c r="F3595" s="311" t="s">
        <v>2083</v>
      </c>
      <c r="G3595" s="312" t="s">
        <v>1079</v>
      </c>
      <c r="H3595" s="261"/>
      <c r="I3595" s="261" t="str">
        <f>IF(ISNUMBER(G3595),E3595*G3595,"")</f>
        <v/>
      </c>
      <c r="J3595" s="280"/>
      <c r="K3595" s="18"/>
      <c r="L3595" s="174">
        <v>7.24</v>
      </c>
    </row>
    <row r="3596" spans="1:12" x14ac:dyDescent="0.25">
      <c r="A3596" s="300"/>
      <c r="B3596" s="292"/>
      <c r="C3596" s="155"/>
      <c r="D3596" s="155"/>
      <c r="E3596" s="293"/>
      <c r="F3596" s="294"/>
      <c r="G3596" s="313" t="s">
        <v>1079</v>
      </c>
      <c r="H3596" s="155"/>
      <c r="I3596" s="313" t="str">
        <f>IF(ISNUMBER(G3596),E3596*G3596,"")</f>
        <v/>
      </c>
      <c r="J3596" s="314"/>
      <c r="K3596" s="70"/>
      <c r="L3596" s="174">
        <v>7.24</v>
      </c>
    </row>
    <row r="3597" spans="1:12" ht="25.5" x14ac:dyDescent="0.25">
      <c r="A3597" s="300"/>
      <c r="B3597" s="292"/>
      <c r="C3597" s="105" t="s">
        <v>2084</v>
      </c>
      <c r="D3597" s="105" t="s">
        <v>1795</v>
      </c>
      <c r="E3597" s="250">
        <v>2.9790000000000001</v>
      </c>
      <c r="F3597" s="250" t="s">
        <v>2085</v>
      </c>
      <c r="G3597" s="313">
        <v>26.666499999999999</v>
      </c>
      <c r="H3597" s="176" t="s">
        <v>2086</v>
      </c>
      <c r="I3597" s="313">
        <f>IF(ISNUMBER(G3597),E3597*G3597,"")</f>
        <v>79.439503500000001</v>
      </c>
      <c r="J3597" s="295">
        <f>SUM(I3597:I3609)</f>
        <v>2274.8714896834099</v>
      </c>
      <c r="K3597" s="29"/>
      <c r="L3597" s="174">
        <v>7.24</v>
      </c>
    </row>
    <row r="3598" spans="1:12" ht="25.5" x14ac:dyDescent="0.25">
      <c r="A3598" s="300"/>
      <c r="B3598" s="292"/>
      <c r="C3598" s="105" t="s">
        <v>2087</v>
      </c>
      <c r="D3598" s="105" t="s">
        <v>208</v>
      </c>
      <c r="E3598" s="250">
        <v>0.12</v>
      </c>
      <c r="F3598" s="250" t="s">
        <v>2085</v>
      </c>
      <c r="G3598" s="313">
        <v>4.351</v>
      </c>
      <c r="H3598" s="176" t="s">
        <v>289</v>
      </c>
      <c r="I3598" s="313">
        <f>IF(ISNUMBER(G3598),E3598*G3598,"")</f>
        <v>0.52212000000000003</v>
      </c>
      <c r="J3598" s="314"/>
      <c r="K3598" s="70"/>
      <c r="L3598" s="174">
        <v>7.24</v>
      </c>
    </row>
    <row r="3599" spans="1:12" x14ac:dyDescent="0.25">
      <c r="A3599" s="300"/>
      <c r="B3599" s="292"/>
      <c r="C3599" s="105" t="s">
        <v>2088</v>
      </c>
      <c r="D3599" s="105" t="s">
        <v>1629</v>
      </c>
      <c r="E3599" s="250">
        <v>0.64449999999999996</v>
      </c>
      <c r="F3599" s="250" t="s">
        <v>2085</v>
      </c>
      <c r="G3599" s="313">
        <v>10.639999999999999</v>
      </c>
      <c r="H3599" s="176" t="s">
        <v>2089</v>
      </c>
      <c r="I3599" s="313">
        <f>IF(ISNUMBER(G3599),E3599*G3599,"")</f>
        <v>6.8574799999999989</v>
      </c>
      <c r="J3599" s="314"/>
      <c r="K3599" s="70"/>
      <c r="L3599" s="174">
        <v>7.24</v>
      </c>
    </row>
    <row r="3600" spans="1:12" x14ac:dyDescent="0.25">
      <c r="A3600" s="300"/>
      <c r="B3600" s="292"/>
      <c r="C3600" s="105" t="s">
        <v>1501</v>
      </c>
      <c r="D3600" s="105" t="s">
        <v>1366</v>
      </c>
      <c r="E3600" s="250">
        <v>1.8137000000000001</v>
      </c>
      <c r="F3600" s="250" t="s">
        <v>2085</v>
      </c>
      <c r="G3600" s="313">
        <v>16.159500000000001</v>
      </c>
      <c r="H3600" s="176" t="s">
        <v>268</v>
      </c>
      <c r="I3600" s="313">
        <f>IF(ISNUMBER(G3600),E3600*G3600,"")</f>
        <v>29.308485150000003</v>
      </c>
      <c r="J3600" s="314"/>
      <c r="K3600" s="70"/>
      <c r="L3600" s="174">
        <v>7.24</v>
      </c>
    </row>
    <row r="3601" spans="1:12" x14ac:dyDescent="0.25">
      <c r="A3601" s="300"/>
      <c r="B3601" s="292"/>
      <c r="C3601" s="105" t="s">
        <v>1365</v>
      </c>
      <c r="D3601" s="105" t="s">
        <v>1366</v>
      </c>
      <c r="E3601" s="250">
        <v>9.0685000000000002</v>
      </c>
      <c r="F3601" s="250" t="s">
        <v>2085</v>
      </c>
      <c r="G3601" s="313">
        <v>19.047499999999999</v>
      </c>
      <c r="H3601" s="176" t="s">
        <v>81</v>
      </c>
      <c r="I3601" s="313">
        <f>IF(ISNUMBER(G3601),E3601*G3601,"")</f>
        <v>172.73225375000001</v>
      </c>
      <c r="J3601" s="314"/>
      <c r="K3601" s="70"/>
      <c r="L3601" s="174">
        <v>7.24</v>
      </c>
    </row>
    <row r="3602" spans="1:12" x14ac:dyDescent="0.25">
      <c r="A3602" s="300"/>
      <c r="B3602" s="292"/>
      <c r="C3602" s="105" t="s">
        <v>1389</v>
      </c>
      <c r="D3602" s="105" t="s">
        <v>1366</v>
      </c>
      <c r="E3602" s="250">
        <v>32.192999999999998</v>
      </c>
      <c r="F3602" s="250" t="s">
        <v>2085</v>
      </c>
      <c r="G3602" s="313">
        <v>19.142499999999998</v>
      </c>
      <c r="H3602" s="176" t="s">
        <v>37</v>
      </c>
      <c r="I3602" s="313">
        <f>IF(ISNUMBER(G3602),E3602*G3602,"")</f>
        <v>616.25450249999994</v>
      </c>
      <c r="J3602" s="314"/>
      <c r="K3602" s="70"/>
      <c r="L3602" s="174">
        <v>7.24</v>
      </c>
    </row>
    <row r="3603" spans="1:12" x14ac:dyDescent="0.25">
      <c r="A3603" s="300"/>
      <c r="B3603" s="292"/>
      <c r="C3603" s="105" t="s">
        <v>1367</v>
      </c>
      <c r="D3603" s="105" t="s">
        <v>1366</v>
      </c>
      <c r="E3603" s="250">
        <v>32.192999999999998</v>
      </c>
      <c r="F3603" s="250" t="s">
        <v>2085</v>
      </c>
      <c r="G3603" s="313">
        <v>14.325999999999999</v>
      </c>
      <c r="H3603" s="176" t="s">
        <v>39</v>
      </c>
      <c r="I3603" s="313">
        <f>IF(ISNUMBER(G3603),E3603*G3603,"")</f>
        <v>461.19691799999993</v>
      </c>
      <c r="J3603" s="314"/>
      <c r="K3603" s="70"/>
      <c r="L3603" s="174">
        <v>7.24</v>
      </c>
    </row>
    <row r="3604" spans="1:12" ht="25.5" x14ac:dyDescent="0.25">
      <c r="A3604" s="300"/>
      <c r="B3604" s="292"/>
      <c r="C3604" s="105" t="s">
        <v>2090</v>
      </c>
      <c r="D3604" s="105" t="s">
        <v>1691</v>
      </c>
      <c r="E3604" s="250">
        <v>6.6319999999999997</v>
      </c>
      <c r="F3604" s="250" t="s">
        <v>2085</v>
      </c>
      <c r="G3604" s="313">
        <v>1.2255</v>
      </c>
      <c r="H3604" s="176" t="s">
        <v>2091</v>
      </c>
      <c r="I3604" s="313">
        <f>IF(ISNUMBER(G3604),E3604*G3604,"")</f>
        <v>8.127516</v>
      </c>
      <c r="J3604" s="314"/>
      <c r="K3604" s="70"/>
      <c r="L3604" s="174">
        <v>7.24</v>
      </c>
    </row>
    <row r="3605" spans="1:12" ht="25.5" x14ac:dyDescent="0.25">
      <c r="A3605" s="300"/>
      <c r="B3605" s="292"/>
      <c r="C3605" s="105" t="s">
        <v>2092</v>
      </c>
      <c r="D3605" s="105" t="s">
        <v>1694</v>
      </c>
      <c r="E3605" s="250">
        <v>18.246200000000002</v>
      </c>
      <c r="F3605" s="250" t="s">
        <v>2085</v>
      </c>
      <c r="G3605" s="313">
        <v>0.30399999999999999</v>
      </c>
      <c r="H3605" s="176" t="s">
        <v>2093</v>
      </c>
      <c r="I3605" s="313">
        <f>IF(ISNUMBER(G3605),E3605*G3605,"")</f>
        <v>5.5468448000000006</v>
      </c>
      <c r="J3605" s="314"/>
      <c r="K3605" s="70"/>
      <c r="L3605" s="174">
        <v>7.24</v>
      </c>
    </row>
    <row r="3606" spans="1:12" ht="25.5" x14ac:dyDescent="0.25">
      <c r="A3606" s="300"/>
      <c r="B3606" s="292"/>
      <c r="C3606" s="105" t="s">
        <v>2094</v>
      </c>
      <c r="D3606" s="105" t="s">
        <v>1691</v>
      </c>
      <c r="E3606" s="250">
        <v>0.77359999999999995</v>
      </c>
      <c r="F3606" s="250" t="s">
        <v>2085</v>
      </c>
      <c r="G3606" s="313">
        <v>16.976500000000001</v>
      </c>
      <c r="H3606" s="176" t="s">
        <v>2095</v>
      </c>
      <c r="I3606" s="313">
        <f>IF(ISNUMBER(G3606),E3606*G3606,"")</f>
        <v>13.133020399999999</v>
      </c>
      <c r="J3606" s="314"/>
      <c r="K3606" s="70"/>
      <c r="L3606" s="174">
        <v>7.24</v>
      </c>
    </row>
    <row r="3607" spans="1:12" ht="25.5" x14ac:dyDescent="0.25">
      <c r="A3607" s="300"/>
      <c r="B3607" s="292"/>
      <c r="C3607" s="105" t="s">
        <v>2096</v>
      </c>
      <c r="D3607" s="105" t="s">
        <v>1694</v>
      </c>
      <c r="E3607" s="250">
        <v>1.0401</v>
      </c>
      <c r="F3607" s="250" t="s">
        <v>2085</v>
      </c>
      <c r="G3607" s="313">
        <v>15.123999999999999</v>
      </c>
      <c r="H3607" s="176" t="s">
        <v>2097</v>
      </c>
      <c r="I3607" s="313">
        <f>IF(ISNUMBER(G3607),E3607*G3607,"")</f>
        <v>15.730472399999998</v>
      </c>
      <c r="J3607" s="314"/>
      <c r="K3607" s="70"/>
      <c r="L3607" s="174">
        <v>7.24</v>
      </c>
    </row>
    <row r="3608" spans="1:12" ht="38.25" x14ac:dyDescent="0.25">
      <c r="A3608" s="300"/>
      <c r="B3608" s="292"/>
      <c r="C3608" s="105" t="s">
        <v>2098</v>
      </c>
      <c r="D3608" s="105" t="s">
        <v>1629</v>
      </c>
      <c r="E3608" s="250">
        <v>42.646299999999997</v>
      </c>
      <c r="F3608" s="250" t="s">
        <v>2085</v>
      </c>
      <c r="G3608" s="313">
        <v>11.973710699999998</v>
      </c>
      <c r="H3608" s="176" t="s">
        <v>2099</v>
      </c>
      <c r="I3608" s="313">
        <f>IF(ISNUMBER(G3608),E3608*G3608,"")</f>
        <v>510.63445862540988</v>
      </c>
      <c r="J3608" s="314"/>
      <c r="K3608" s="70"/>
      <c r="L3608" s="174">
        <v>7.24</v>
      </c>
    </row>
    <row r="3609" spans="1:12" ht="25.5" x14ac:dyDescent="0.25">
      <c r="A3609" s="300"/>
      <c r="B3609" s="292"/>
      <c r="C3609" s="105" t="s">
        <v>2100</v>
      </c>
      <c r="D3609" s="105" t="s">
        <v>252</v>
      </c>
      <c r="E3609" s="250">
        <v>1.2</v>
      </c>
      <c r="F3609" s="250" t="s">
        <v>2085</v>
      </c>
      <c r="G3609" s="313">
        <v>296.15659546499995</v>
      </c>
      <c r="H3609" s="176" t="s">
        <v>2101</v>
      </c>
      <c r="I3609" s="313">
        <f>IF(ISNUMBER(G3609),E3609*G3609,"")</f>
        <v>355.38791455799992</v>
      </c>
      <c r="J3609" s="314"/>
      <c r="K3609" s="70"/>
      <c r="L3609" s="174">
        <v>7.24</v>
      </c>
    </row>
    <row r="3610" spans="1:12" ht="15.75" thickBot="1" x14ac:dyDescent="0.3">
      <c r="A3610" s="301"/>
      <c r="B3610" s="297"/>
      <c r="C3610" s="275"/>
      <c r="D3610" s="275"/>
      <c r="E3610" s="310"/>
      <c r="F3610" s="263"/>
      <c r="G3610" s="315" t="s">
        <v>1079</v>
      </c>
      <c r="H3610" s="263"/>
      <c r="I3610" s="315" t="str">
        <f>IF(ISNUMBER(G3610),E3610*G3610,"")</f>
        <v/>
      </c>
      <c r="J3610" s="316"/>
      <c r="K3610" s="70"/>
      <c r="L3610" s="174">
        <v>7.24</v>
      </c>
    </row>
    <row r="3611" spans="1:12" ht="15.75" thickBot="1" x14ac:dyDescent="0.3">
      <c r="A3611" s="288" t="s">
        <v>2102</v>
      </c>
      <c r="B3611" s="289" t="str">
        <f>INDEX(Orçamentária!A:B,MATCH(Composições!A3611,Orçamentária!A:A,0),2)</f>
        <v>Eletroduto PEAD 3”</v>
      </c>
      <c r="C3611" s="274"/>
      <c r="D3611" s="265" t="str">
        <f>TRIM(INDEX(Orçamentária!C:C,MATCH(Composições!A3611,Orçamentária!A:A,0),1))</f>
        <v>m</v>
      </c>
      <c r="E3611" s="290"/>
      <c r="F3611" s="311" t="s">
        <v>2103</v>
      </c>
      <c r="G3611" s="312" t="s">
        <v>1079</v>
      </c>
      <c r="H3611" s="261"/>
      <c r="I3611" s="261" t="str">
        <f>IF(ISNUMBER(G3611),E3611*G3611,"")</f>
        <v/>
      </c>
      <c r="J3611" s="280"/>
      <c r="K3611" s="18"/>
      <c r="L3611" s="174">
        <v>70</v>
      </c>
    </row>
    <row r="3612" spans="1:12" x14ac:dyDescent="0.25">
      <c r="A3612" s="300"/>
      <c r="B3612" s="292"/>
      <c r="C3612" s="155"/>
      <c r="D3612" s="155"/>
      <c r="E3612" s="293"/>
      <c r="F3612" s="294"/>
      <c r="G3612" s="313" t="s">
        <v>1079</v>
      </c>
      <c r="H3612" s="155"/>
      <c r="I3612" s="313" t="str">
        <f>IF(ISNUMBER(G3612),E3612*G3612,"")</f>
        <v/>
      </c>
      <c r="J3612" s="314"/>
      <c r="K3612" s="70"/>
      <c r="L3612" s="174">
        <v>70</v>
      </c>
    </row>
    <row r="3613" spans="1:12" ht="38.25" x14ac:dyDescent="0.25">
      <c r="A3613" s="300"/>
      <c r="B3613" s="292"/>
      <c r="C3613" s="105" t="s">
        <v>2104</v>
      </c>
      <c r="D3613" s="105" t="s">
        <v>988</v>
      </c>
      <c r="E3613" s="250">
        <v>1.1000000000000001</v>
      </c>
      <c r="F3613" s="250" t="s">
        <v>2103</v>
      </c>
      <c r="G3613" s="313">
        <v>6.9349999999999996</v>
      </c>
      <c r="H3613" s="176" t="s">
        <v>2105</v>
      </c>
      <c r="I3613" s="313">
        <f>IF(ISNUMBER(G3613),E3613*G3613,"")</f>
        <v>7.6284999999999998</v>
      </c>
      <c r="J3613" s="295">
        <f>SUM(I3613:I3615)</f>
        <v>14.39687</v>
      </c>
      <c r="K3613" s="29"/>
      <c r="L3613" s="174">
        <v>70</v>
      </c>
    </row>
    <row r="3614" spans="1:12" x14ac:dyDescent="0.25">
      <c r="A3614" s="300"/>
      <c r="B3614" s="292"/>
      <c r="C3614" s="105" t="s">
        <v>2106</v>
      </c>
      <c r="D3614" s="105" t="s">
        <v>1366</v>
      </c>
      <c r="E3614" s="250">
        <v>0.19600000000000001</v>
      </c>
      <c r="F3614" s="250" t="s">
        <v>2103</v>
      </c>
      <c r="G3614" s="313">
        <v>15.218999999999999</v>
      </c>
      <c r="H3614" s="176" t="s">
        <v>145</v>
      </c>
      <c r="I3614" s="313">
        <f>IF(ISNUMBER(G3614),E3614*G3614,"")</f>
        <v>2.9829240000000001</v>
      </c>
      <c r="J3614" s="314"/>
      <c r="K3614" s="70"/>
      <c r="L3614" s="174">
        <v>70</v>
      </c>
    </row>
    <row r="3615" spans="1:12" x14ac:dyDescent="0.25">
      <c r="A3615" s="300"/>
      <c r="B3615" s="292"/>
      <c r="C3615" s="105" t="s">
        <v>2107</v>
      </c>
      <c r="D3615" s="105" t="s">
        <v>1366</v>
      </c>
      <c r="E3615" s="250">
        <v>0.19600000000000001</v>
      </c>
      <c r="F3615" s="250" t="s">
        <v>2103</v>
      </c>
      <c r="G3615" s="313">
        <v>19.313499999999998</v>
      </c>
      <c r="H3615" s="176" t="s">
        <v>55</v>
      </c>
      <c r="I3615" s="313">
        <f>IF(ISNUMBER(G3615),E3615*G3615,"")</f>
        <v>3.7854459999999999</v>
      </c>
      <c r="J3615" s="314"/>
      <c r="K3615" s="70"/>
      <c r="L3615" s="174">
        <v>70</v>
      </c>
    </row>
    <row r="3616" spans="1:12" ht="15.75" thickBot="1" x14ac:dyDescent="0.3">
      <c r="A3616" s="300"/>
      <c r="B3616" s="292"/>
      <c r="C3616" s="275"/>
      <c r="D3616" s="275"/>
      <c r="E3616" s="310"/>
      <c r="F3616" s="263"/>
      <c r="G3616" s="315" t="s">
        <v>1079</v>
      </c>
      <c r="H3616" s="263"/>
      <c r="I3616" s="315" t="str">
        <f>IF(ISNUMBER(G3616),E3616*G3616,"")</f>
        <v/>
      </c>
      <c r="J3616" s="316"/>
      <c r="K3616" s="70"/>
      <c r="L3616" s="174">
        <v>70</v>
      </c>
    </row>
    <row r="3617" spans="1:12" ht="15.75" thickBot="1" x14ac:dyDescent="0.3">
      <c r="A3617" s="288" t="s">
        <v>2108</v>
      </c>
      <c r="B3617" s="289" t="str">
        <f>INDEX(Orçamentária!A:B,MATCH(Composições!A3617,Orçamentária!A:A,0),2)</f>
        <v>Eletroduto de aço galvanizado de 3”</v>
      </c>
      <c r="C3617" s="274"/>
      <c r="D3617" s="265" t="str">
        <f>TRIM(INDEX(Orçamentária!C:C,MATCH(Composições!A3617,Orçamentária!A:A,0),1))</f>
        <v>m</v>
      </c>
      <c r="E3617" s="290"/>
      <c r="F3617" s="311" t="s">
        <v>2109</v>
      </c>
      <c r="G3617" s="312" t="s">
        <v>1079</v>
      </c>
      <c r="H3617" s="261"/>
      <c r="I3617" s="261" t="str">
        <f>IF(ISNUMBER(G3617),E3617*G3617,"")</f>
        <v/>
      </c>
      <c r="J3617" s="280"/>
      <c r="K3617" s="18"/>
      <c r="L3617" s="174">
        <v>12.6</v>
      </c>
    </row>
    <row r="3618" spans="1:12" x14ac:dyDescent="0.25">
      <c r="A3618" s="300"/>
      <c r="B3618" s="292"/>
      <c r="C3618" s="155"/>
      <c r="D3618" s="155"/>
      <c r="E3618" s="293"/>
      <c r="F3618" s="294"/>
      <c r="G3618" s="313" t="s">
        <v>1079</v>
      </c>
      <c r="H3618" s="155"/>
      <c r="I3618" s="313" t="str">
        <f>IF(ISNUMBER(G3618),E3618*G3618,"")</f>
        <v/>
      </c>
      <c r="J3618" s="314"/>
      <c r="K3618" s="70"/>
      <c r="L3618" s="174">
        <v>12.6</v>
      </c>
    </row>
    <row r="3619" spans="1:12" x14ac:dyDescent="0.25">
      <c r="A3619" s="300"/>
      <c r="B3619" s="292"/>
      <c r="C3619" s="105" t="s">
        <v>2110</v>
      </c>
      <c r="D3619" s="105" t="s">
        <v>988</v>
      </c>
      <c r="E3619" s="250">
        <v>1.05</v>
      </c>
      <c r="F3619" s="250" t="s">
        <v>2111</v>
      </c>
      <c r="G3619" s="313">
        <v>37.477499999999999</v>
      </c>
      <c r="H3619" s="250" t="s">
        <v>4602</v>
      </c>
      <c r="I3619" s="313">
        <f>IF(ISNUMBER(G3619),E3619*G3619,"")</f>
        <v>39.351374999999997</v>
      </c>
      <c r="J3619" s="295">
        <f>SUM(I3619:I3621)</f>
        <v>73.883874999999989</v>
      </c>
      <c r="K3619" s="29"/>
      <c r="L3619" s="174">
        <v>12.6</v>
      </c>
    </row>
    <row r="3620" spans="1:12" x14ac:dyDescent="0.25">
      <c r="A3620" s="300"/>
      <c r="B3620" s="292"/>
      <c r="C3620" s="105" t="s">
        <v>2106</v>
      </c>
      <c r="D3620" s="105" t="s">
        <v>1366</v>
      </c>
      <c r="E3620" s="250">
        <v>1</v>
      </c>
      <c r="F3620" s="250" t="s">
        <v>2111</v>
      </c>
      <c r="G3620" s="313">
        <v>15.218999999999999</v>
      </c>
      <c r="H3620" s="176" t="s">
        <v>145</v>
      </c>
      <c r="I3620" s="313">
        <f>IF(ISNUMBER(G3620),E3620*G3620,"")</f>
        <v>15.218999999999999</v>
      </c>
      <c r="J3620" s="314"/>
      <c r="K3620" s="70"/>
      <c r="L3620" s="174">
        <v>12.6</v>
      </c>
    </row>
    <row r="3621" spans="1:12" x14ac:dyDescent="0.25">
      <c r="A3621" s="300"/>
      <c r="B3621" s="292"/>
      <c r="C3621" s="105" t="s">
        <v>2107</v>
      </c>
      <c r="D3621" s="105" t="s">
        <v>1366</v>
      </c>
      <c r="E3621" s="250">
        <v>1</v>
      </c>
      <c r="F3621" s="250" t="s">
        <v>2111</v>
      </c>
      <c r="G3621" s="313">
        <v>19.313499999999998</v>
      </c>
      <c r="H3621" s="176" t="s">
        <v>55</v>
      </c>
      <c r="I3621" s="313">
        <f>IF(ISNUMBER(G3621),E3621*G3621,"")</f>
        <v>19.313499999999998</v>
      </c>
      <c r="J3621" s="314"/>
      <c r="K3621" s="70"/>
      <c r="L3621" s="174">
        <v>12.6</v>
      </c>
    </row>
    <row r="3622" spans="1:12" ht="15.75" thickBot="1" x14ac:dyDescent="0.3">
      <c r="A3622" s="300"/>
      <c r="B3622" s="292"/>
      <c r="C3622" s="275"/>
      <c r="D3622" s="275"/>
      <c r="E3622" s="310"/>
      <c r="F3622" s="263"/>
      <c r="G3622" s="315" t="s">
        <v>1079</v>
      </c>
      <c r="H3622" s="263"/>
      <c r="I3622" s="315" t="str">
        <f>IF(ISNUMBER(G3622),E3622*G3622,"")</f>
        <v/>
      </c>
      <c r="J3622" s="316"/>
      <c r="K3622" s="70"/>
      <c r="L3622" s="174">
        <v>12.6</v>
      </c>
    </row>
    <row r="3623" spans="1:12" ht="15.75" thickBot="1" x14ac:dyDescent="0.3">
      <c r="A3623" s="288" t="s">
        <v>2112</v>
      </c>
      <c r="B3623" s="289" t="str">
        <f>INDEX(Orçamentária!A:B,MATCH(Composições!A3623,Orçamentária!A:A,0),2)</f>
        <v>Grelha reta para ralo</v>
      </c>
      <c r="C3623" s="274"/>
      <c r="D3623" s="265" t="str">
        <f>TRIM(INDEX(Orçamentária!C:C,MATCH(Composições!A3623,Orçamentária!A:A,0),1))</f>
        <v>m</v>
      </c>
      <c r="E3623" s="290"/>
      <c r="F3623" s="311" t="s">
        <v>2113</v>
      </c>
      <c r="G3623" s="312" t="s">
        <v>1079</v>
      </c>
      <c r="H3623" s="261"/>
      <c r="I3623" s="261" t="str">
        <f>IF(ISNUMBER(G3623),E3623*G3623,"")</f>
        <v/>
      </c>
      <c r="J3623" s="280"/>
      <c r="K3623" s="18"/>
      <c r="L3623" s="174">
        <v>15</v>
      </c>
    </row>
    <row r="3624" spans="1:12" x14ac:dyDescent="0.25">
      <c r="A3624" s="300"/>
      <c r="B3624" s="292"/>
      <c r="C3624" s="155"/>
      <c r="D3624" s="155"/>
      <c r="E3624" s="293"/>
      <c r="F3624" s="294"/>
      <c r="G3624" s="313" t="s">
        <v>1079</v>
      </c>
      <c r="H3624" s="155"/>
      <c r="I3624" s="313" t="str">
        <f>IF(ISNUMBER(G3624),E3624*G3624,"")</f>
        <v/>
      </c>
      <c r="J3624" s="314"/>
      <c r="K3624" s="70"/>
      <c r="L3624" s="174">
        <v>15</v>
      </c>
    </row>
    <row r="3625" spans="1:12" ht="25.5" x14ac:dyDescent="0.25">
      <c r="A3625" s="300"/>
      <c r="B3625" s="292"/>
      <c r="C3625" s="105" t="s">
        <v>2114</v>
      </c>
      <c r="D3625" s="105" t="s">
        <v>184</v>
      </c>
      <c r="E3625" s="250">
        <v>1</v>
      </c>
      <c r="F3625" s="250" t="s">
        <v>2115</v>
      </c>
      <c r="G3625" s="313">
        <v>76.275500000000008</v>
      </c>
      <c r="H3625" s="250" t="s">
        <v>2116</v>
      </c>
      <c r="I3625" s="313">
        <f>IF(ISNUMBER(G3625),E3625*G3625,"")</f>
        <v>76.275500000000008</v>
      </c>
      <c r="J3625" s="295">
        <f>SUM(I3625:I3627)</f>
        <v>98.69939500000001</v>
      </c>
      <c r="K3625" s="29"/>
      <c r="L3625" s="174">
        <v>15</v>
      </c>
    </row>
    <row r="3626" spans="1:12" x14ac:dyDescent="0.25">
      <c r="A3626" s="300"/>
      <c r="B3626" s="292"/>
      <c r="C3626" s="105" t="s">
        <v>1389</v>
      </c>
      <c r="D3626" s="105" t="s">
        <v>1366</v>
      </c>
      <c r="E3626" s="250">
        <v>0.67</v>
      </c>
      <c r="F3626" s="250" t="s">
        <v>2115</v>
      </c>
      <c r="G3626" s="313">
        <v>19.142499999999998</v>
      </c>
      <c r="H3626" s="250" t="s">
        <v>37</v>
      </c>
      <c r="I3626" s="313">
        <f>IF(ISNUMBER(G3626),E3626*G3626,"")</f>
        <v>12.825474999999999</v>
      </c>
      <c r="J3626" s="314"/>
      <c r="K3626" s="70"/>
      <c r="L3626" s="174">
        <v>15</v>
      </c>
    </row>
    <row r="3627" spans="1:12" x14ac:dyDescent="0.25">
      <c r="A3627" s="300"/>
      <c r="B3627" s="292"/>
      <c r="C3627" s="105" t="s">
        <v>1367</v>
      </c>
      <c r="D3627" s="105" t="s">
        <v>1366</v>
      </c>
      <c r="E3627" s="250">
        <v>0.67</v>
      </c>
      <c r="F3627" s="250" t="s">
        <v>2115</v>
      </c>
      <c r="G3627" s="313">
        <v>14.325999999999999</v>
      </c>
      <c r="H3627" s="176" t="s">
        <v>39</v>
      </c>
      <c r="I3627" s="313">
        <f>IF(ISNUMBER(G3627),E3627*G3627,"")</f>
        <v>9.5984199999999991</v>
      </c>
      <c r="J3627" s="314"/>
      <c r="K3627" s="70"/>
      <c r="L3627" s="174">
        <v>15</v>
      </c>
    </row>
    <row r="3628" spans="1:12" ht="15.75" thickBot="1" x14ac:dyDescent="0.3">
      <c r="A3628" s="300"/>
      <c r="B3628" s="292"/>
      <c r="C3628" s="275"/>
      <c r="D3628" s="275"/>
      <c r="E3628" s="310"/>
      <c r="F3628" s="263"/>
      <c r="G3628" s="315" t="s">
        <v>1079</v>
      </c>
      <c r="H3628" s="263"/>
      <c r="I3628" s="315" t="str">
        <f>IF(ISNUMBER(G3628),E3628*G3628,"")</f>
        <v/>
      </c>
      <c r="J3628" s="316"/>
      <c r="K3628" s="70"/>
      <c r="L3628" s="174">
        <v>15</v>
      </c>
    </row>
    <row r="3629" spans="1:12" ht="15.75" thickBot="1" x14ac:dyDescent="0.3">
      <c r="A3629" s="288" t="s">
        <v>2117</v>
      </c>
      <c r="B3629" s="289" t="str">
        <f>INDEX(Orçamentária!A:B,MATCH(Composições!A3629,Orçamentária!A:A,0),2)</f>
        <v>Granito Vermelho Brasília para soleira e peitoril</v>
      </c>
      <c r="C3629" s="274"/>
      <c r="D3629" s="265" t="str">
        <f>TRIM(INDEX(Orçamentária!C:C,MATCH(Composições!A3629,Orçamentária!A:A,0),1))</f>
        <v>m2</v>
      </c>
      <c r="E3629" s="290"/>
      <c r="F3629" s="259" t="s">
        <v>482</v>
      </c>
      <c r="G3629" s="312" t="s">
        <v>1079</v>
      </c>
      <c r="H3629" s="261"/>
      <c r="I3629" s="261" t="str">
        <f>IF(ISNUMBER(G3629),E3629*G3629,"")</f>
        <v/>
      </c>
      <c r="J3629" s="280"/>
      <c r="K3629" s="18"/>
      <c r="L3629" s="174">
        <v>2.59</v>
      </c>
    </row>
    <row r="3630" spans="1:12" x14ac:dyDescent="0.25">
      <c r="A3630" s="300"/>
      <c r="B3630" s="292"/>
      <c r="C3630" s="155"/>
      <c r="D3630" s="155"/>
      <c r="E3630" s="293"/>
      <c r="F3630" s="294"/>
      <c r="G3630" s="313" t="s">
        <v>1079</v>
      </c>
      <c r="H3630" s="155"/>
      <c r="I3630" s="313" t="str">
        <f>IF(ISNUMBER(G3630),E3630*G3630,"")</f>
        <v/>
      </c>
      <c r="J3630" s="314"/>
      <c r="K3630" s="70"/>
      <c r="L3630" s="174">
        <v>2.59</v>
      </c>
    </row>
    <row r="3631" spans="1:12" ht="25.5" x14ac:dyDescent="0.25">
      <c r="A3631" s="300"/>
      <c r="B3631" s="292"/>
      <c r="C3631" s="105" t="s">
        <v>2118</v>
      </c>
      <c r="D3631" s="105" t="s">
        <v>184</v>
      </c>
      <c r="E3631" s="250">
        <f>ROUND(1/0.15,4)</f>
        <v>6.6666999999999996</v>
      </c>
      <c r="F3631" s="176" t="s">
        <v>482</v>
      </c>
      <c r="G3631" s="313">
        <v>57</v>
      </c>
      <c r="H3631" s="176" t="s">
        <v>33</v>
      </c>
      <c r="I3631" s="313">
        <f>IF(ISNUMBER(G3631),E3631*G3631,"")</f>
        <v>380.00189999999998</v>
      </c>
      <c r="J3631" s="295">
        <f>SUM(I3631:I3634)</f>
        <v>474.72896309999999</v>
      </c>
      <c r="K3631" s="29"/>
      <c r="L3631" s="174">
        <v>2.59</v>
      </c>
    </row>
    <row r="3632" spans="1:12" x14ac:dyDescent="0.25">
      <c r="A3632" s="300"/>
      <c r="B3632" s="292"/>
      <c r="C3632" s="105" t="s">
        <v>471</v>
      </c>
      <c r="D3632" s="105" t="s">
        <v>75</v>
      </c>
      <c r="E3632" s="250">
        <f>1.29/0.15</f>
        <v>8.6000000000000014</v>
      </c>
      <c r="F3632" s="176" t="s">
        <v>482</v>
      </c>
      <c r="G3632" s="313">
        <v>1.159</v>
      </c>
      <c r="H3632" s="176" t="s">
        <v>473</v>
      </c>
      <c r="I3632" s="313">
        <f>IF(ISNUMBER(G3632),E3632*G3632,"")</f>
        <v>9.9674000000000014</v>
      </c>
      <c r="J3632" s="314"/>
      <c r="K3632" s="70"/>
      <c r="L3632" s="174">
        <v>2.59</v>
      </c>
    </row>
    <row r="3633" spans="1:12" x14ac:dyDescent="0.25">
      <c r="A3633" s="300"/>
      <c r="B3633" s="292"/>
      <c r="C3633" s="105" t="s">
        <v>101</v>
      </c>
      <c r="D3633" s="105" t="s">
        <v>21</v>
      </c>
      <c r="E3633" s="250">
        <f>ROUND(0.547/0.15,4)</f>
        <v>3.6467000000000001</v>
      </c>
      <c r="F3633" s="176" t="s">
        <v>482</v>
      </c>
      <c r="G3633" s="313">
        <v>16.093</v>
      </c>
      <c r="H3633" s="176" t="s">
        <v>103</v>
      </c>
      <c r="I3633" s="313">
        <f>IF(ISNUMBER(G3633),E3633*G3633,"")</f>
        <v>58.686343100000002</v>
      </c>
      <c r="J3633" s="314"/>
      <c r="K3633" s="70"/>
      <c r="L3633" s="174">
        <v>2.59</v>
      </c>
    </row>
    <row r="3634" spans="1:12" x14ac:dyDescent="0.25">
      <c r="A3634" s="300"/>
      <c r="B3634" s="292"/>
      <c r="C3634" s="105" t="s">
        <v>38</v>
      </c>
      <c r="D3634" s="105" t="s">
        <v>21</v>
      </c>
      <c r="E3634" s="250">
        <f>0.273/0.15</f>
        <v>1.8200000000000003</v>
      </c>
      <c r="F3634" s="176" t="s">
        <v>482</v>
      </c>
      <c r="G3634" s="313">
        <v>14.325999999999999</v>
      </c>
      <c r="H3634" s="176" t="s">
        <v>39</v>
      </c>
      <c r="I3634" s="313">
        <f>IF(ISNUMBER(G3634),E3634*G3634,"")</f>
        <v>26.073320000000002</v>
      </c>
      <c r="J3634" s="314"/>
      <c r="K3634" s="70"/>
      <c r="L3634" s="174">
        <v>2.59</v>
      </c>
    </row>
    <row r="3635" spans="1:12" ht="15.75" thickBot="1" x14ac:dyDescent="0.3">
      <c r="A3635" s="300"/>
      <c r="B3635" s="292"/>
      <c r="C3635" s="105"/>
      <c r="D3635" s="105"/>
      <c r="E3635" s="250"/>
      <c r="F3635" s="176"/>
      <c r="G3635" s="313" t="s">
        <v>1079</v>
      </c>
      <c r="H3635" s="176"/>
      <c r="I3635" s="313" t="str">
        <f>IF(ISNUMBER(G3635),E3635*G3635,"")</f>
        <v/>
      </c>
      <c r="J3635" s="314"/>
      <c r="K3635" s="70"/>
      <c r="L3635" s="174">
        <v>2.59</v>
      </c>
    </row>
    <row r="3636" spans="1:12" ht="15.75" thickBot="1" x14ac:dyDescent="0.3">
      <c r="A3636" s="288" t="s">
        <v>2119</v>
      </c>
      <c r="B3636" s="289" t="str">
        <f>INDEX(Orçamentária!A:B,MATCH(Composições!A3636,Orçamentária!A:A,0),2)</f>
        <v>Luminária LED redonda de embutir</v>
      </c>
      <c r="C3636" s="274"/>
      <c r="D3636" s="265" t="str">
        <f>TRIM(INDEX(Orçamentária!C:C,MATCH(Composições!A3636,Orçamentária!A:A,0),1))</f>
        <v>un</v>
      </c>
      <c r="E3636" s="290"/>
      <c r="F3636" s="259" t="s">
        <v>1105</v>
      </c>
      <c r="G3636" s="312" t="s">
        <v>1079</v>
      </c>
      <c r="H3636" s="261"/>
      <c r="I3636" s="261" t="str">
        <f>IF(ISNUMBER(G3636),E3636*G3636,"")</f>
        <v/>
      </c>
      <c r="J3636" s="280"/>
      <c r="K3636" s="18"/>
      <c r="L3636" s="174">
        <v>17</v>
      </c>
    </row>
    <row r="3637" spans="1:12" x14ac:dyDescent="0.25">
      <c r="A3637" s="300"/>
      <c r="B3637" s="292"/>
      <c r="C3637" s="155"/>
      <c r="D3637" s="155"/>
      <c r="E3637" s="293"/>
      <c r="F3637" s="294"/>
      <c r="G3637" s="313" t="s">
        <v>1079</v>
      </c>
      <c r="H3637" s="155"/>
      <c r="I3637" s="313" t="str">
        <f>IF(ISNUMBER(G3637),E3637*G3637,"")</f>
        <v/>
      </c>
      <c r="J3637" s="314"/>
      <c r="K3637" s="70"/>
      <c r="L3637" s="174">
        <v>17</v>
      </c>
    </row>
    <row r="3638" spans="1:12" ht="38.25" x14ac:dyDescent="0.25">
      <c r="A3638" s="300"/>
      <c r="B3638" s="292"/>
      <c r="C3638" s="105" t="s">
        <v>2120</v>
      </c>
      <c r="D3638" s="105" t="s">
        <v>305</v>
      </c>
      <c r="E3638" s="250">
        <v>1</v>
      </c>
      <c r="F3638" s="176" t="s">
        <v>1106</v>
      </c>
      <c r="G3638" s="313">
        <v>249.24</v>
      </c>
      <c r="H3638" s="176" t="s">
        <v>33</v>
      </c>
      <c r="I3638" s="313">
        <f>IF(ISNUMBER(G3638),E3638*G3638,"")</f>
        <v>249.24</v>
      </c>
      <c r="J3638" s="295">
        <f>SUM(I3638:I3643)</f>
        <v>273.88232600000003</v>
      </c>
      <c r="K3638" s="29"/>
      <c r="L3638" s="174">
        <v>17</v>
      </c>
    </row>
    <row r="3639" spans="1:12" ht="25.5" x14ac:dyDescent="0.25">
      <c r="A3639" s="300"/>
      <c r="B3639" s="292"/>
      <c r="C3639" s="105" t="s">
        <v>1107</v>
      </c>
      <c r="D3639" s="105" t="s">
        <v>184</v>
      </c>
      <c r="E3639" s="250">
        <v>1.5</v>
      </c>
      <c r="F3639" s="176" t="s">
        <v>17</v>
      </c>
      <c r="G3639" s="313">
        <v>5.49</v>
      </c>
      <c r="H3639" s="176" t="s">
        <v>33</v>
      </c>
      <c r="I3639" s="313">
        <f>IF(ISNUMBER(G3639),E3639*G3639,"")</f>
        <v>8.2349999999999994</v>
      </c>
      <c r="J3639" s="314"/>
      <c r="K3639" s="70"/>
      <c r="L3639" s="174">
        <v>17</v>
      </c>
    </row>
    <row r="3640" spans="1:12" x14ac:dyDescent="0.25">
      <c r="A3640" s="300"/>
      <c r="B3640" s="292"/>
      <c r="C3640" s="105" t="s">
        <v>1108</v>
      </c>
      <c r="D3640" s="105" t="s">
        <v>305</v>
      </c>
      <c r="E3640" s="250">
        <v>1</v>
      </c>
      <c r="F3640" s="176" t="s">
        <v>17</v>
      </c>
      <c r="G3640" s="313">
        <v>4.1900000000000004</v>
      </c>
      <c r="H3640" s="176" t="s">
        <v>33</v>
      </c>
      <c r="I3640" s="313">
        <f>IF(ISNUMBER(G3640),E3640*G3640,"")</f>
        <v>4.1900000000000004</v>
      </c>
      <c r="J3640" s="314"/>
      <c r="K3640" s="70"/>
      <c r="L3640" s="174">
        <v>17</v>
      </c>
    </row>
    <row r="3641" spans="1:12" x14ac:dyDescent="0.25">
      <c r="A3641" s="300"/>
      <c r="B3641" s="292"/>
      <c r="C3641" s="105" t="s">
        <v>1109</v>
      </c>
      <c r="D3641" s="105" t="s">
        <v>305</v>
      </c>
      <c r="E3641" s="250">
        <v>1</v>
      </c>
      <c r="F3641" s="176" t="s">
        <v>17</v>
      </c>
      <c r="G3641" s="313">
        <v>4.28</v>
      </c>
      <c r="H3641" s="176" t="s">
        <v>33</v>
      </c>
      <c r="I3641" s="313">
        <f>IF(ISNUMBER(G3641),E3641*G3641,"")</f>
        <v>4.28</v>
      </c>
      <c r="J3641" s="314"/>
      <c r="K3641" s="70"/>
      <c r="L3641" s="174">
        <v>17</v>
      </c>
    </row>
    <row r="3642" spans="1:12" x14ac:dyDescent="0.25">
      <c r="A3642" s="300"/>
      <c r="B3642" s="292"/>
      <c r="C3642" s="105" t="s">
        <v>144</v>
      </c>
      <c r="D3642" s="105" t="s">
        <v>21</v>
      </c>
      <c r="E3642" s="250">
        <v>0.12889999999999999</v>
      </c>
      <c r="F3642" s="176" t="s">
        <v>1106</v>
      </c>
      <c r="G3642" s="313">
        <v>15.218999999999999</v>
      </c>
      <c r="H3642" s="176" t="s">
        <v>145</v>
      </c>
      <c r="I3642" s="313">
        <f>IF(ISNUMBER(G3642),E3642*G3642,"")</f>
        <v>1.9617290999999997</v>
      </c>
      <c r="J3642" s="314"/>
      <c r="K3642" s="70"/>
      <c r="L3642" s="174">
        <v>17</v>
      </c>
    </row>
    <row r="3643" spans="1:12" x14ac:dyDescent="0.25">
      <c r="A3643" s="300"/>
      <c r="B3643" s="292"/>
      <c r="C3643" s="105" t="s">
        <v>54</v>
      </c>
      <c r="D3643" s="105" t="s">
        <v>21</v>
      </c>
      <c r="E3643" s="250">
        <v>0.30940000000000001</v>
      </c>
      <c r="F3643" s="176" t="s">
        <v>1106</v>
      </c>
      <c r="G3643" s="313">
        <v>19.313499999999998</v>
      </c>
      <c r="H3643" s="176" t="s">
        <v>55</v>
      </c>
      <c r="I3643" s="313">
        <f>IF(ISNUMBER(G3643),E3643*G3643,"")</f>
        <v>5.9755968999999993</v>
      </c>
      <c r="J3643" s="314"/>
      <c r="K3643" s="70"/>
      <c r="L3643" s="174">
        <v>17</v>
      </c>
    </row>
    <row r="3644" spans="1:12" ht="15.75" thickBot="1" x14ac:dyDescent="0.3">
      <c r="A3644" s="300"/>
      <c r="B3644" s="292"/>
      <c r="C3644" s="105"/>
      <c r="D3644" s="271"/>
      <c r="E3644" s="250"/>
      <c r="F3644" s="176"/>
      <c r="G3644" s="313" t="s">
        <v>1079</v>
      </c>
      <c r="H3644" s="176"/>
      <c r="I3644" s="313" t="str">
        <f>IF(ISNUMBER(G3644),E3644*G3644,"")</f>
        <v/>
      </c>
      <c r="J3644" s="314"/>
      <c r="K3644" s="70"/>
      <c r="L3644" s="174">
        <v>17</v>
      </c>
    </row>
    <row r="3645" spans="1:12" ht="15.75" thickBot="1" x14ac:dyDescent="0.3">
      <c r="A3645" s="288" t="s">
        <v>2121</v>
      </c>
      <c r="B3645" s="289" t="str">
        <f>INDEX(Orçamentária!A:B,MATCH(Composições!A3645,Orçamentária!A:A,0),2)</f>
        <v>Piso tátil de borracha</v>
      </c>
      <c r="C3645" s="274"/>
      <c r="D3645" s="265" t="str">
        <f>TRIM(INDEX(Orçamentária!C:C,MATCH(Composições!A3645,Orçamentária!A:A,0),1))</f>
        <v>m2</v>
      </c>
      <c r="E3645" s="290"/>
      <c r="F3645" s="259" t="s">
        <v>2008</v>
      </c>
      <c r="G3645" s="312" t="s">
        <v>1079</v>
      </c>
      <c r="H3645" s="261"/>
      <c r="I3645" s="261" t="str">
        <f>IF(ISNUMBER(G3645),E3645*G3645,"")</f>
        <v/>
      </c>
      <c r="J3645" s="280"/>
      <c r="K3645" s="18"/>
      <c r="L3645" s="174">
        <v>360</v>
      </c>
    </row>
    <row r="3646" spans="1:12" x14ac:dyDescent="0.25">
      <c r="A3646" s="300"/>
      <c r="B3646" s="292"/>
      <c r="C3646" s="155"/>
      <c r="D3646" s="155"/>
      <c r="E3646" s="293"/>
      <c r="F3646" s="294"/>
      <c r="G3646" s="313" t="s">
        <v>1079</v>
      </c>
      <c r="H3646" s="155"/>
      <c r="I3646" s="313" t="str">
        <f>IF(ISNUMBER(G3646),E3646*G3646,"")</f>
        <v/>
      </c>
      <c r="J3646" s="314"/>
      <c r="K3646" s="70"/>
      <c r="L3646" s="174">
        <v>360</v>
      </c>
    </row>
    <row r="3647" spans="1:12" x14ac:dyDescent="0.25">
      <c r="A3647" s="300"/>
      <c r="B3647" s="292"/>
      <c r="C3647" s="105" t="s">
        <v>601</v>
      </c>
      <c r="D3647" s="105" t="s">
        <v>1629</v>
      </c>
      <c r="E3647" s="250">
        <v>9.5000000000000001E-2</v>
      </c>
      <c r="F3647" s="176" t="s">
        <v>2009</v>
      </c>
      <c r="G3647" s="313">
        <v>24.101500000000001</v>
      </c>
      <c r="H3647" s="176" t="s">
        <v>602</v>
      </c>
      <c r="I3647" s="313">
        <f>IF(ISNUMBER(G3647),E3647*G3647,"")</f>
        <v>2.2896425000000002</v>
      </c>
      <c r="J3647" s="295">
        <f>SUM(I3647:I3650)</f>
        <v>20.102308749999999</v>
      </c>
      <c r="K3647" s="29"/>
      <c r="L3647" s="174">
        <v>360</v>
      </c>
    </row>
    <row r="3648" spans="1:12" ht="25.5" x14ac:dyDescent="0.25">
      <c r="A3648" s="300"/>
      <c r="B3648" s="292"/>
      <c r="C3648" s="105" t="s">
        <v>2122</v>
      </c>
      <c r="D3648" s="105" t="s">
        <v>1795</v>
      </c>
      <c r="E3648" s="250">
        <f>1*0.25*0.25</f>
        <v>6.25E-2</v>
      </c>
      <c r="F3648" s="176" t="s">
        <v>2009</v>
      </c>
      <c r="G3648" s="313">
        <v>175.2655</v>
      </c>
      <c r="H3648" s="176" t="s">
        <v>2123</v>
      </c>
      <c r="I3648" s="313">
        <f>IF(ISNUMBER(G3648),E3648*G3648,"")</f>
        <v>10.95409375</v>
      </c>
      <c r="J3648" s="314"/>
      <c r="K3648" s="70"/>
      <c r="L3648" s="174">
        <v>360</v>
      </c>
    </row>
    <row r="3649" spans="1:12" x14ac:dyDescent="0.25">
      <c r="A3649" s="300"/>
      <c r="B3649" s="292"/>
      <c r="C3649" s="105" t="s">
        <v>1389</v>
      </c>
      <c r="D3649" s="105" t="s">
        <v>1366</v>
      </c>
      <c r="E3649" s="250">
        <v>0.26100000000000001</v>
      </c>
      <c r="F3649" s="176" t="s">
        <v>2009</v>
      </c>
      <c r="G3649" s="313">
        <v>19.142499999999998</v>
      </c>
      <c r="H3649" s="176" t="s">
        <v>37</v>
      </c>
      <c r="I3649" s="313">
        <f>IF(ISNUMBER(G3649),E3649*G3649,"")</f>
        <v>4.9961924999999994</v>
      </c>
      <c r="J3649" s="314"/>
      <c r="K3649" s="70"/>
      <c r="L3649" s="174">
        <v>360</v>
      </c>
    </row>
    <row r="3650" spans="1:12" x14ac:dyDescent="0.25">
      <c r="A3650" s="300"/>
      <c r="B3650" s="292"/>
      <c r="C3650" s="105" t="s">
        <v>1367</v>
      </c>
      <c r="D3650" s="105" t="s">
        <v>1366</v>
      </c>
      <c r="E3650" s="250">
        <v>0.13</v>
      </c>
      <c r="F3650" s="176" t="s">
        <v>2009</v>
      </c>
      <c r="G3650" s="313">
        <v>14.325999999999999</v>
      </c>
      <c r="H3650" s="176" t="s">
        <v>39</v>
      </c>
      <c r="I3650" s="313">
        <f>IF(ISNUMBER(G3650),E3650*G3650,"")</f>
        <v>1.8623799999999999</v>
      </c>
      <c r="J3650" s="314"/>
      <c r="K3650" s="70"/>
      <c r="L3650" s="174">
        <v>360</v>
      </c>
    </row>
    <row r="3651" spans="1:12" ht="15.75" thickBot="1" x14ac:dyDescent="0.3">
      <c r="A3651" s="300"/>
      <c r="B3651" s="292"/>
      <c r="C3651" s="275"/>
      <c r="D3651" s="275"/>
      <c r="E3651" s="310"/>
      <c r="F3651" s="263"/>
      <c r="G3651" s="315" t="s">
        <v>1079</v>
      </c>
      <c r="H3651" s="263"/>
      <c r="I3651" s="315" t="str">
        <f>IF(ISNUMBER(G3651),E3651*G3651,"")</f>
        <v/>
      </c>
      <c r="J3651" s="316"/>
      <c r="K3651" s="70"/>
      <c r="L3651" s="174">
        <v>360</v>
      </c>
    </row>
    <row r="3652" spans="1:12" ht="15.75" thickBot="1" x14ac:dyDescent="0.3">
      <c r="A3652" s="288" t="s">
        <v>2124</v>
      </c>
      <c r="B3652" s="289" t="str">
        <f>INDEX(Orçamentária!A:B,MATCH(Composições!A3652,Orçamentária!A:A,0),2)</f>
        <v>Granito Vermelho Brasília 20 mm para divisória</v>
      </c>
      <c r="C3652" s="274"/>
      <c r="D3652" s="265" t="str">
        <f>TRIM(INDEX(Orçamentária!C:C,MATCH(Composições!A3652,Orçamentária!A:A,0),1))</f>
        <v>m2</v>
      </c>
      <c r="E3652" s="290"/>
      <c r="F3652" s="259" t="s">
        <v>527</v>
      </c>
      <c r="G3652" s="312" t="s">
        <v>1079</v>
      </c>
      <c r="H3652" s="261"/>
      <c r="I3652" s="261" t="str">
        <f>IF(ISNUMBER(G3652),E3652*G3652,"")</f>
        <v/>
      </c>
      <c r="J3652" s="280"/>
      <c r="K3652" s="18"/>
      <c r="L3652" s="174">
        <v>6.12</v>
      </c>
    </row>
    <row r="3653" spans="1:12" x14ac:dyDescent="0.25">
      <c r="A3653" s="300"/>
      <c r="B3653" s="292"/>
      <c r="C3653" s="155"/>
      <c r="D3653" s="155"/>
      <c r="E3653" s="293"/>
      <c r="F3653" s="294"/>
      <c r="G3653" s="313" t="s">
        <v>1079</v>
      </c>
      <c r="H3653" s="155"/>
      <c r="I3653" s="313" t="str">
        <f>IF(ISNUMBER(G3653),E3653*G3653,"")</f>
        <v/>
      </c>
      <c r="J3653" s="314"/>
      <c r="K3653" s="70"/>
      <c r="L3653" s="174">
        <v>6.12</v>
      </c>
    </row>
    <row r="3654" spans="1:12" x14ac:dyDescent="0.25">
      <c r="A3654" s="300"/>
      <c r="B3654" s="292"/>
      <c r="C3654" s="105" t="s">
        <v>528</v>
      </c>
      <c r="D3654" s="105" t="s">
        <v>75</v>
      </c>
      <c r="E3654" s="250">
        <v>0.7</v>
      </c>
      <c r="F3654" s="176" t="s">
        <v>529</v>
      </c>
      <c r="G3654" s="313">
        <v>2.2515000000000001</v>
      </c>
      <c r="H3654" s="176" t="s">
        <v>530</v>
      </c>
      <c r="I3654" s="313">
        <f>IF(ISNUMBER(G3654),E3654*G3654,"")</f>
        <v>1.57605</v>
      </c>
      <c r="J3654" s="295">
        <f>SUM(I3654:I3658)</f>
        <v>502.31001071157499</v>
      </c>
      <c r="K3654" s="29"/>
      <c r="L3654" s="174">
        <v>6.12</v>
      </c>
    </row>
    <row r="3655" spans="1:12" ht="25.5" x14ac:dyDescent="0.25">
      <c r="A3655" s="300"/>
      <c r="B3655" s="292"/>
      <c r="C3655" s="105" t="s">
        <v>2125</v>
      </c>
      <c r="D3655" s="105" t="s">
        <v>189</v>
      </c>
      <c r="E3655" s="250">
        <v>1</v>
      </c>
      <c r="F3655" s="176" t="s">
        <v>529</v>
      </c>
      <c r="G3655" s="313">
        <v>389.22</v>
      </c>
      <c r="H3655" s="176" t="s">
        <v>33</v>
      </c>
      <c r="I3655" s="313">
        <f>IF(ISNUMBER(G3655),E3655*G3655,"")</f>
        <v>389.22</v>
      </c>
      <c r="J3655" s="314"/>
      <c r="K3655" s="70"/>
      <c r="L3655" s="174">
        <v>6.12</v>
      </c>
    </row>
    <row r="3656" spans="1:12" x14ac:dyDescent="0.25">
      <c r="A3656" s="300"/>
      <c r="B3656" s="292"/>
      <c r="C3656" s="105" t="s">
        <v>101</v>
      </c>
      <c r="D3656" s="105" t="s">
        <v>21</v>
      </c>
      <c r="E3656" s="250">
        <v>4.8</v>
      </c>
      <c r="F3656" s="176" t="s">
        <v>529</v>
      </c>
      <c r="G3656" s="313">
        <v>16.093</v>
      </c>
      <c r="H3656" s="176" t="s">
        <v>103</v>
      </c>
      <c r="I3656" s="313">
        <f>IF(ISNUMBER(G3656),E3656*G3656,"")</f>
        <v>77.246399999999994</v>
      </c>
      <c r="J3656" s="314"/>
      <c r="K3656" s="70"/>
      <c r="L3656" s="174">
        <v>6.12</v>
      </c>
    </row>
    <row r="3657" spans="1:12" x14ac:dyDescent="0.25">
      <c r="A3657" s="300"/>
      <c r="B3657" s="292"/>
      <c r="C3657" s="105" t="s">
        <v>38</v>
      </c>
      <c r="D3657" s="105" t="s">
        <v>21</v>
      </c>
      <c r="E3657" s="250">
        <v>2.2999999999999998</v>
      </c>
      <c r="F3657" s="176" t="s">
        <v>529</v>
      </c>
      <c r="G3657" s="313">
        <v>14.325999999999999</v>
      </c>
      <c r="H3657" s="176" t="s">
        <v>39</v>
      </c>
      <c r="I3657" s="313">
        <f>IF(ISNUMBER(G3657),E3657*G3657,"")</f>
        <v>32.949799999999996</v>
      </c>
      <c r="J3657" s="314"/>
      <c r="K3657" s="70"/>
      <c r="L3657" s="174">
        <v>6.12</v>
      </c>
    </row>
    <row r="3658" spans="1:12" ht="25.5" x14ac:dyDescent="0.25">
      <c r="A3658" s="300"/>
      <c r="B3658" s="292"/>
      <c r="C3658" s="105" t="s">
        <v>532</v>
      </c>
      <c r="D3658" s="105" t="s">
        <v>228</v>
      </c>
      <c r="E3658" s="250">
        <v>3.3E-3</v>
      </c>
      <c r="F3658" s="176" t="s">
        <v>529</v>
      </c>
      <c r="G3658" s="313">
        <v>399.32142775</v>
      </c>
      <c r="H3658" s="176" t="s">
        <v>533</v>
      </c>
      <c r="I3658" s="313">
        <f>IF(ISNUMBER(G3658),E3658*G3658,"")</f>
        <v>1.3177607115750001</v>
      </c>
      <c r="J3658" s="314"/>
      <c r="K3658" s="70"/>
      <c r="L3658" s="174">
        <v>6.12</v>
      </c>
    </row>
    <row r="3659" spans="1:12" ht="15.75" thickBot="1" x14ac:dyDescent="0.3">
      <c r="A3659" s="300"/>
      <c r="B3659" s="292"/>
      <c r="C3659" s="105"/>
      <c r="D3659" s="105"/>
      <c r="E3659" s="250"/>
      <c r="F3659" s="176"/>
      <c r="G3659" s="313" t="s">
        <v>1079</v>
      </c>
      <c r="H3659" s="176"/>
      <c r="I3659" s="313" t="str">
        <f>IF(ISNUMBER(G3659),E3659*G3659,"")</f>
        <v/>
      </c>
      <c r="J3659" s="314"/>
      <c r="K3659" s="70"/>
      <c r="L3659" s="174">
        <v>6.12</v>
      </c>
    </row>
    <row r="3660" spans="1:12" ht="15.75" thickBot="1" x14ac:dyDescent="0.3">
      <c r="A3660" s="288" t="s">
        <v>2126</v>
      </c>
      <c r="B3660" s="289" t="str">
        <f>INDEX(Orçamentária!A:B,MATCH(Composições!A3660,Orçamentária!A:A,0),2)</f>
        <v>Tampa em ferro fundido 20x20 cm</v>
      </c>
      <c r="C3660" s="274"/>
      <c r="D3660" s="265" t="str">
        <f>TRIM(INDEX(Orçamentária!C:C,MATCH(Composições!A3660,Orçamentária!A:A,0),1))</f>
        <v>un</v>
      </c>
      <c r="E3660" s="290"/>
      <c r="F3660" s="259" t="s">
        <v>1808</v>
      </c>
      <c r="G3660" s="312" t="s">
        <v>1079</v>
      </c>
      <c r="H3660" s="261"/>
      <c r="I3660" s="261" t="str">
        <f>IF(ISNUMBER(G3660),E3660*G3660,"")</f>
        <v/>
      </c>
      <c r="J3660" s="280"/>
      <c r="K3660" s="18"/>
      <c r="L3660" s="174">
        <v>2</v>
      </c>
    </row>
    <row r="3661" spans="1:12" x14ac:dyDescent="0.25">
      <c r="A3661" s="300"/>
      <c r="B3661" s="292"/>
      <c r="C3661" s="155"/>
      <c r="D3661" s="155"/>
      <c r="E3661" s="293"/>
      <c r="F3661" s="294"/>
      <c r="G3661" s="313" t="s">
        <v>1079</v>
      </c>
      <c r="H3661" s="155"/>
      <c r="I3661" s="313" t="str">
        <f>IF(ISNUMBER(G3661),E3661*G3661,"")</f>
        <v/>
      </c>
      <c r="J3661" s="314"/>
      <c r="K3661" s="70"/>
      <c r="L3661" s="174">
        <v>2</v>
      </c>
    </row>
    <row r="3662" spans="1:12" ht="25.5" x14ac:dyDescent="0.25">
      <c r="A3662" s="300"/>
      <c r="B3662" s="292"/>
      <c r="C3662" s="105" t="s">
        <v>2127</v>
      </c>
      <c r="D3662" s="271" t="s">
        <v>588</v>
      </c>
      <c r="E3662" s="250">
        <v>1</v>
      </c>
      <c r="F3662" s="176" t="s">
        <v>1810</v>
      </c>
      <c r="G3662" s="313">
        <v>60.866499999999988</v>
      </c>
      <c r="H3662" s="176" t="s">
        <v>2128</v>
      </c>
      <c r="I3662" s="313">
        <f>IF(ISNUMBER(G3662),E3662*G3662,"")</f>
        <v>60.866499999999988</v>
      </c>
      <c r="J3662" s="295">
        <f>SUM(I3662:I3665)</f>
        <v>120.03284335089998</v>
      </c>
      <c r="K3662" s="29"/>
      <c r="L3662" s="174">
        <v>2</v>
      </c>
    </row>
    <row r="3663" spans="1:12" ht="38.25" x14ac:dyDescent="0.25">
      <c r="A3663" s="300"/>
      <c r="B3663" s="292"/>
      <c r="C3663" s="105" t="s">
        <v>1812</v>
      </c>
      <c r="D3663" s="271" t="s">
        <v>252</v>
      </c>
      <c r="E3663" s="250">
        <v>7.0000000000000001E-3</v>
      </c>
      <c r="F3663" s="176" t="s">
        <v>1810</v>
      </c>
      <c r="G3663" s="313">
        <v>324.27047869999996</v>
      </c>
      <c r="H3663" s="176" t="s">
        <v>1813</v>
      </c>
      <c r="I3663" s="313">
        <f>IF(ISNUMBER(G3663),E3663*G3663,"")</f>
        <v>2.2698933508999999</v>
      </c>
      <c r="J3663" s="314"/>
      <c r="K3663" s="70"/>
      <c r="L3663" s="174">
        <v>2</v>
      </c>
    </row>
    <row r="3664" spans="1:12" x14ac:dyDescent="0.25">
      <c r="A3664" s="300"/>
      <c r="B3664" s="292"/>
      <c r="C3664" s="105" t="s">
        <v>36</v>
      </c>
      <c r="D3664" s="105" t="s">
        <v>21</v>
      </c>
      <c r="E3664" s="250">
        <v>1.7</v>
      </c>
      <c r="F3664" s="176" t="s">
        <v>1810</v>
      </c>
      <c r="G3664" s="313">
        <v>19.142499999999998</v>
      </c>
      <c r="H3664" s="176" t="s">
        <v>37</v>
      </c>
      <c r="I3664" s="313">
        <f>IF(ISNUMBER(G3664),E3664*G3664,"")</f>
        <v>32.542249999999996</v>
      </c>
      <c r="J3664" s="314"/>
      <c r="K3664" s="70"/>
      <c r="L3664" s="174">
        <v>2</v>
      </c>
    </row>
    <row r="3665" spans="1:12" x14ac:dyDescent="0.25">
      <c r="A3665" s="300"/>
      <c r="B3665" s="292"/>
      <c r="C3665" s="105" t="s">
        <v>38</v>
      </c>
      <c r="D3665" s="105" t="s">
        <v>21</v>
      </c>
      <c r="E3665" s="250">
        <v>1.7</v>
      </c>
      <c r="F3665" s="176" t="s">
        <v>1810</v>
      </c>
      <c r="G3665" s="313">
        <v>14.325999999999999</v>
      </c>
      <c r="H3665" s="176" t="s">
        <v>39</v>
      </c>
      <c r="I3665" s="313">
        <f>IF(ISNUMBER(G3665),E3665*G3665,"")</f>
        <v>24.354199999999999</v>
      </c>
      <c r="J3665" s="314"/>
      <c r="K3665" s="70"/>
      <c r="L3665" s="174">
        <v>2</v>
      </c>
    </row>
    <row r="3666" spans="1:12" ht="15.75" thickBot="1" x14ac:dyDescent="0.3">
      <c r="A3666" s="300"/>
      <c r="B3666" s="292"/>
      <c r="C3666" s="275"/>
      <c r="D3666" s="275"/>
      <c r="E3666" s="310"/>
      <c r="F3666" s="263"/>
      <c r="G3666" s="315" t="s">
        <v>1079</v>
      </c>
      <c r="H3666" s="263"/>
      <c r="I3666" s="315" t="str">
        <f>IF(ISNUMBER(G3666),E3666*G3666,"")</f>
        <v/>
      </c>
      <c r="J3666" s="316"/>
      <c r="K3666" s="70"/>
      <c r="L3666" s="174">
        <v>2</v>
      </c>
    </row>
    <row r="3667" spans="1:12" ht="15.75" hidden="1" thickBot="1" x14ac:dyDescent="0.3">
      <c r="A3667" s="180" t="s">
        <v>2129</v>
      </c>
      <c r="B3667" s="178" t="str">
        <f>INDEX(Orçamentária!A:B,MATCH(Composições!A3667,Orçamentária!A:A,0),2)</f>
        <v>Cerâmica para revestimento de superfícies internas ou externas – Linha GAIL</v>
      </c>
      <c r="C3667" s="30"/>
      <c r="D3667" s="13" t="str">
        <f>TRIM(INDEX(Orçamentária!C:C,MATCH(Composições!A3667,Orçamentária!A:A,0),1))</f>
        <v>m2</v>
      </c>
      <c r="E3667" s="14"/>
      <c r="F3667" s="15" t="s">
        <v>451</v>
      </c>
      <c r="G3667" s="40" t="s">
        <v>1079</v>
      </c>
      <c r="H3667" s="16"/>
      <c r="I3667" s="16" t="str">
        <f>IF(ISNUMBER(G3667),E3667*G3667,"")</f>
        <v/>
      </c>
      <c r="J3667" s="17"/>
      <c r="K3667" s="18"/>
      <c r="L3667" s="174">
        <v>0</v>
      </c>
    </row>
    <row r="3668" spans="1:12" ht="15.75" hidden="1" thickBot="1" x14ac:dyDescent="0.3">
      <c r="A3668" s="186"/>
      <c r="B3668" s="179"/>
      <c r="C3668" s="20"/>
      <c r="D3668" s="20"/>
      <c r="E3668" s="21"/>
      <c r="F3668" s="22"/>
      <c r="G3668" s="46" t="s">
        <v>1079</v>
      </c>
      <c r="H3668" s="20"/>
      <c r="I3668" s="46" t="str">
        <f>IF(ISNUMBER(G3668),E3668*G3668,"")</f>
        <v/>
      </c>
      <c r="J3668" s="69"/>
      <c r="K3668" s="70"/>
      <c r="L3668" s="174">
        <v>0</v>
      </c>
    </row>
    <row r="3669" spans="1:12" ht="26.25" hidden="1" thickBot="1" x14ac:dyDescent="0.3">
      <c r="A3669" s="186"/>
      <c r="B3669" s="179"/>
      <c r="C3669" s="25" t="s">
        <v>2130</v>
      </c>
      <c r="D3669" s="25" t="s">
        <v>189</v>
      </c>
      <c r="E3669" s="26">
        <v>1.08</v>
      </c>
      <c r="F3669" s="27" t="s">
        <v>453</v>
      </c>
      <c r="G3669" s="46" t="s">
        <v>1079</v>
      </c>
      <c r="H3669" s="27" t="s">
        <v>33</v>
      </c>
      <c r="I3669" s="46" t="str">
        <f>IF(ISNUMBER(G3669),E3669*G3669,"")</f>
        <v/>
      </c>
      <c r="J3669" s="28">
        <f>SUM(I3669:I3673)</f>
        <v>22.951049999999999</v>
      </c>
      <c r="K3669" s="29"/>
      <c r="L3669" s="174">
        <v>0</v>
      </c>
    </row>
    <row r="3670" spans="1:12" ht="15.75" hidden="1" thickBot="1" x14ac:dyDescent="0.3">
      <c r="A3670" s="186"/>
      <c r="B3670" s="179"/>
      <c r="C3670" s="25" t="s">
        <v>455</v>
      </c>
      <c r="D3670" s="25" t="s">
        <v>75</v>
      </c>
      <c r="E3670" s="26">
        <v>6.14</v>
      </c>
      <c r="F3670" s="27" t="s">
        <v>453</v>
      </c>
      <c r="G3670" s="46">
        <v>0.76</v>
      </c>
      <c r="H3670" s="27" t="s">
        <v>456</v>
      </c>
      <c r="I3670" s="46">
        <f>IF(ISNUMBER(G3670),E3670*G3670,"")</f>
        <v>4.6663999999999994</v>
      </c>
      <c r="J3670" s="69"/>
      <c r="K3670" s="70"/>
      <c r="L3670" s="174">
        <v>0</v>
      </c>
    </row>
    <row r="3671" spans="1:12" ht="15.75" hidden="1" thickBot="1" x14ac:dyDescent="0.3">
      <c r="A3671" s="186"/>
      <c r="B3671" s="179"/>
      <c r="C3671" s="25" t="s">
        <v>457</v>
      </c>
      <c r="D3671" s="25" t="s">
        <v>75</v>
      </c>
      <c r="E3671" s="26">
        <v>0.22</v>
      </c>
      <c r="F3671" s="27" t="s">
        <v>453</v>
      </c>
      <c r="G3671" s="46">
        <v>2.4129999999999998</v>
      </c>
      <c r="H3671" s="27" t="s">
        <v>458</v>
      </c>
      <c r="I3671" s="46">
        <f>IF(ISNUMBER(G3671),E3671*G3671,"")</f>
        <v>0.53086</v>
      </c>
      <c r="J3671" s="69"/>
      <c r="K3671" s="70"/>
      <c r="L3671" s="174">
        <v>0</v>
      </c>
    </row>
    <row r="3672" spans="1:12" ht="15.75" hidden="1" thickBot="1" x14ac:dyDescent="0.3">
      <c r="A3672" s="186"/>
      <c r="B3672" s="179"/>
      <c r="C3672" s="25" t="s">
        <v>64</v>
      </c>
      <c r="D3672" s="25" t="s">
        <v>21</v>
      </c>
      <c r="E3672" s="26">
        <v>0.66</v>
      </c>
      <c r="F3672" s="27" t="s">
        <v>453</v>
      </c>
      <c r="G3672" s="46">
        <v>19.0855</v>
      </c>
      <c r="H3672" s="27" t="s">
        <v>65</v>
      </c>
      <c r="I3672" s="46">
        <f>IF(ISNUMBER(G3672),E3672*G3672,"")</f>
        <v>12.59643</v>
      </c>
      <c r="J3672" s="69"/>
      <c r="K3672" s="70"/>
      <c r="L3672" s="174">
        <v>0</v>
      </c>
    </row>
    <row r="3673" spans="1:12" ht="15.75" hidden="1" thickBot="1" x14ac:dyDescent="0.3">
      <c r="A3673" s="186"/>
      <c r="B3673" s="179"/>
      <c r="C3673" s="25" t="s">
        <v>38</v>
      </c>
      <c r="D3673" s="25" t="s">
        <v>21</v>
      </c>
      <c r="E3673" s="26">
        <v>0.36</v>
      </c>
      <c r="F3673" s="27" t="s">
        <v>453</v>
      </c>
      <c r="G3673" s="46">
        <v>14.325999999999999</v>
      </c>
      <c r="H3673" s="27" t="s">
        <v>39</v>
      </c>
      <c r="I3673" s="46">
        <f>IF(ISNUMBER(G3673),E3673*G3673,"")</f>
        <v>5.1573599999999997</v>
      </c>
      <c r="J3673" s="69"/>
      <c r="K3673" s="70"/>
      <c r="L3673" s="174">
        <v>0</v>
      </c>
    </row>
    <row r="3674" spans="1:12" ht="15.75" hidden="1" thickBot="1" x14ac:dyDescent="0.3">
      <c r="A3674" s="186"/>
      <c r="B3674" s="179"/>
      <c r="C3674" s="25"/>
      <c r="D3674" s="36"/>
      <c r="E3674" s="26"/>
      <c r="F3674" s="27"/>
      <c r="G3674" s="46" t="s">
        <v>1079</v>
      </c>
      <c r="H3674" s="27"/>
      <c r="I3674" s="46" t="str">
        <f>IF(ISNUMBER(G3674),E3674*G3674,"")</f>
        <v/>
      </c>
      <c r="J3674" s="69"/>
      <c r="K3674" s="70"/>
      <c r="L3674" s="174">
        <v>0</v>
      </c>
    </row>
    <row r="3675" spans="1:12" ht="15.75" thickBot="1" x14ac:dyDescent="0.3">
      <c r="A3675" s="288" t="s">
        <v>2131</v>
      </c>
      <c r="B3675" s="289" t="str">
        <f>INDEX(Orçamentária!A:B,MATCH(Composições!A3675,Orçamentária!A:A,0),2)</f>
        <v>Aterro de vala com areia média e compactação mecanizada</v>
      </c>
      <c r="C3675" s="274"/>
      <c r="D3675" s="265" t="str">
        <f>TRIM(INDEX(Orçamentária!C:C,MATCH(Composições!A3675,Orçamentária!A:A,0),1))</f>
        <v>m3</v>
      </c>
      <c r="E3675" s="290"/>
      <c r="F3675" s="259" t="s">
        <v>2132</v>
      </c>
      <c r="G3675" s="312" t="s">
        <v>1079</v>
      </c>
      <c r="H3675" s="261"/>
      <c r="I3675" s="261" t="str">
        <f>IF(ISNUMBER(G3675),E3675*G3675,"")</f>
        <v/>
      </c>
      <c r="J3675" s="280"/>
      <c r="K3675" s="18"/>
      <c r="L3675" s="174">
        <v>45.5</v>
      </c>
    </row>
    <row r="3676" spans="1:12" x14ac:dyDescent="0.25">
      <c r="A3676" s="300"/>
      <c r="B3676" s="292"/>
      <c r="C3676" s="155"/>
      <c r="D3676" s="155"/>
      <c r="E3676" s="293"/>
      <c r="F3676" s="294"/>
      <c r="G3676" s="313" t="s">
        <v>1079</v>
      </c>
      <c r="H3676" s="155"/>
      <c r="I3676" s="313" t="str">
        <f>IF(ISNUMBER(G3676),E3676*G3676,"")</f>
        <v/>
      </c>
      <c r="J3676" s="314"/>
      <c r="K3676" s="70"/>
      <c r="L3676" s="174">
        <v>45.5</v>
      </c>
    </row>
    <row r="3677" spans="1:12" ht="25.5" x14ac:dyDescent="0.25">
      <c r="A3677" s="300"/>
      <c r="B3677" s="292"/>
      <c r="C3677" s="105" t="s">
        <v>2133</v>
      </c>
      <c r="D3677" s="271" t="s">
        <v>252</v>
      </c>
      <c r="E3677" s="250">
        <v>1.25</v>
      </c>
      <c r="F3677" s="176" t="s">
        <v>2134</v>
      </c>
      <c r="G3677" s="313">
        <v>75.629499999999993</v>
      </c>
      <c r="H3677" s="176" t="s">
        <v>2135</v>
      </c>
      <c r="I3677" s="313">
        <f>IF(ISNUMBER(G3677),E3677*G3677,"")</f>
        <v>94.536874999999995</v>
      </c>
      <c r="J3677" s="295">
        <f>SUM(I3677:I3684)</f>
        <v>141.51463624999997</v>
      </c>
      <c r="K3677" s="29"/>
      <c r="L3677" s="174">
        <v>45.5</v>
      </c>
    </row>
    <row r="3678" spans="1:12" ht="51" x14ac:dyDescent="0.25">
      <c r="A3678" s="300"/>
      <c r="B3678" s="292"/>
      <c r="C3678" s="105" t="s">
        <v>1700</v>
      </c>
      <c r="D3678" s="271" t="s">
        <v>1691</v>
      </c>
      <c r="E3678" s="250">
        <v>6.0000000000000001E-3</v>
      </c>
      <c r="F3678" s="176" t="s">
        <v>2134</v>
      </c>
      <c r="G3678" s="313">
        <v>149.07399999999998</v>
      </c>
      <c r="H3678" s="176" t="s">
        <v>1702</v>
      </c>
      <c r="I3678" s="313">
        <f>IF(ISNUMBER(G3678),E3678*G3678,"")</f>
        <v>0.89444399999999991</v>
      </c>
      <c r="J3678" s="314"/>
      <c r="K3678" s="70"/>
      <c r="L3678" s="174">
        <v>45.5</v>
      </c>
    </row>
    <row r="3679" spans="1:12" ht="51" x14ac:dyDescent="0.25">
      <c r="A3679" s="300"/>
      <c r="B3679" s="292"/>
      <c r="C3679" s="105" t="s">
        <v>1703</v>
      </c>
      <c r="D3679" s="105" t="s">
        <v>1694</v>
      </c>
      <c r="E3679" s="250">
        <v>3.0000000000000001E-3</v>
      </c>
      <c r="F3679" s="176" t="s">
        <v>2134</v>
      </c>
      <c r="G3679" s="313">
        <v>31.673000000000002</v>
      </c>
      <c r="H3679" s="176" t="s">
        <v>1704</v>
      </c>
      <c r="I3679" s="313">
        <f>IF(ISNUMBER(G3679),E3679*G3679,"")</f>
        <v>9.5019000000000006E-2</v>
      </c>
      <c r="J3679" s="314"/>
      <c r="K3679" s="70"/>
      <c r="L3679" s="174">
        <v>45.5</v>
      </c>
    </row>
    <row r="3680" spans="1:12" x14ac:dyDescent="0.25">
      <c r="A3680" s="300"/>
      <c r="B3680" s="292"/>
      <c r="C3680" s="105" t="s">
        <v>1367</v>
      </c>
      <c r="D3680" s="105" t="s">
        <v>1366</v>
      </c>
      <c r="E3680" s="250">
        <v>0.65900000000000003</v>
      </c>
      <c r="F3680" s="176" t="s">
        <v>2134</v>
      </c>
      <c r="G3680" s="313">
        <v>14.325999999999999</v>
      </c>
      <c r="H3680" s="176" t="s">
        <v>39</v>
      </c>
      <c r="I3680" s="313">
        <f>IF(ISNUMBER(G3680),E3680*G3680,"")</f>
        <v>9.4408339999999988</v>
      </c>
      <c r="J3680" s="314"/>
      <c r="K3680" s="70"/>
      <c r="L3680" s="174">
        <v>45.5</v>
      </c>
    </row>
    <row r="3681" spans="1:12" ht="38.25" x14ac:dyDescent="0.25">
      <c r="A3681" s="300"/>
      <c r="B3681" s="292"/>
      <c r="C3681" s="105" t="s">
        <v>1690</v>
      </c>
      <c r="D3681" s="271" t="s">
        <v>1691</v>
      </c>
      <c r="E3681" s="250">
        <v>0.27400000000000002</v>
      </c>
      <c r="F3681" s="176" t="s">
        <v>2134</v>
      </c>
      <c r="G3681" s="313">
        <v>20.700499999999998</v>
      </c>
      <c r="H3681" s="176" t="s">
        <v>1692</v>
      </c>
      <c r="I3681" s="313">
        <f>IF(ISNUMBER(G3681),E3681*G3681,"")</f>
        <v>5.6719369999999998</v>
      </c>
      <c r="J3681" s="314"/>
      <c r="K3681" s="70"/>
      <c r="L3681" s="174">
        <v>45.5</v>
      </c>
    </row>
    <row r="3682" spans="1:12" ht="38.25" x14ac:dyDescent="0.25">
      <c r="A3682" s="300"/>
      <c r="B3682" s="292"/>
      <c r="C3682" s="105" t="s">
        <v>1693</v>
      </c>
      <c r="D3682" s="271" t="s">
        <v>1694</v>
      </c>
      <c r="E3682" s="250">
        <v>0.254</v>
      </c>
      <c r="F3682" s="176" t="s">
        <v>2134</v>
      </c>
      <c r="G3682" s="313">
        <v>16.074000000000002</v>
      </c>
      <c r="H3682" s="176" t="s">
        <v>1695</v>
      </c>
      <c r="I3682" s="313">
        <f>IF(ISNUMBER(G3682),E3682*G3682,"")</f>
        <v>4.0827960000000001</v>
      </c>
      <c r="J3682" s="314"/>
      <c r="K3682" s="70"/>
      <c r="L3682" s="174">
        <v>45.5</v>
      </c>
    </row>
    <row r="3683" spans="1:12" ht="38.25" x14ac:dyDescent="0.25">
      <c r="A3683" s="300"/>
      <c r="B3683" s="292"/>
      <c r="C3683" s="105" t="s">
        <v>251</v>
      </c>
      <c r="D3683" s="105" t="s">
        <v>228</v>
      </c>
      <c r="E3683" s="250">
        <f>1*E3677</f>
        <v>1.25</v>
      </c>
      <c r="F3683" s="176" t="s">
        <v>17</v>
      </c>
      <c r="G3683" s="258">
        <v>0.72471700000000006</v>
      </c>
      <c r="H3683" s="176" t="s">
        <v>253</v>
      </c>
      <c r="I3683" s="258">
        <f>IF(ISNUMBER(G3683),E3683*G3683,"")</f>
        <v>0.90589625000000007</v>
      </c>
      <c r="J3683" s="281"/>
      <c r="K3683" s="19"/>
      <c r="L3683" s="174">
        <v>45.5</v>
      </c>
    </row>
    <row r="3684" spans="1:12" ht="38.25" x14ac:dyDescent="0.25">
      <c r="A3684" s="300"/>
      <c r="B3684" s="292"/>
      <c r="C3684" s="105" t="s">
        <v>254</v>
      </c>
      <c r="D3684" s="271" t="s">
        <v>255</v>
      </c>
      <c r="E3684" s="250">
        <f>E3677*20</f>
        <v>25</v>
      </c>
      <c r="F3684" s="176" t="s">
        <v>17</v>
      </c>
      <c r="G3684" s="313">
        <v>1.0354733999999999</v>
      </c>
      <c r="H3684" s="176" t="s">
        <v>256</v>
      </c>
      <c r="I3684" s="313">
        <f>IF(ISNUMBER(G3684),E3684*G3684,"")</f>
        <v>25.886834999999998</v>
      </c>
      <c r="J3684" s="314"/>
      <c r="K3684" s="70"/>
      <c r="L3684" s="174">
        <v>45.5</v>
      </c>
    </row>
    <row r="3685" spans="1:12" x14ac:dyDescent="0.25">
      <c r="A3685" s="300"/>
      <c r="B3685" s="292"/>
      <c r="C3685" s="303"/>
      <c r="D3685" s="271"/>
      <c r="E3685" s="250"/>
      <c r="F3685" s="176"/>
      <c r="G3685" s="313" t="s">
        <v>1079</v>
      </c>
      <c r="H3685" s="176"/>
      <c r="I3685" s="313" t="str">
        <f>IF(ISNUMBER(G3685),E3685*G3685,"")</f>
        <v/>
      </c>
      <c r="J3685" s="314"/>
      <c r="K3685" s="70"/>
      <c r="L3685" s="174">
        <v>45.5</v>
      </c>
    </row>
    <row r="3686" spans="1:12" x14ac:dyDescent="0.25">
      <c r="A3686" s="300"/>
      <c r="B3686" s="292"/>
      <c r="C3686" s="2" t="s">
        <v>1459</v>
      </c>
      <c r="D3686" s="271"/>
      <c r="E3686" s="250"/>
      <c r="F3686" s="176"/>
      <c r="G3686" s="313" t="s">
        <v>1079</v>
      </c>
      <c r="H3686" s="176"/>
      <c r="I3686" s="313" t="str">
        <f>IF(ISNUMBER(G3686),E3686*G3686,"")</f>
        <v/>
      </c>
      <c r="J3686" s="314"/>
      <c r="K3686" s="70"/>
      <c r="L3686" s="174">
        <v>45.5</v>
      </c>
    </row>
    <row r="3687" spans="1:12" ht="15.75" thickBot="1" x14ac:dyDescent="0.3">
      <c r="A3687" s="300"/>
      <c r="B3687" s="292"/>
      <c r="C3687" s="275"/>
      <c r="D3687" s="275"/>
      <c r="E3687" s="310"/>
      <c r="F3687" s="263"/>
      <c r="G3687" s="315" t="s">
        <v>1079</v>
      </c>
      <c r="H3687" s="263"/>
      <c r="I3687" s="315" t="str">
        <f>IF(ISNUMBER(G3687),E3687*G3687,"")</f>
        <v/>
      </c>
      <c r="J3687" s="316"/>
      <c r="K3687" s="70"/>
      <c r="L3687" s="174">
        <v>45.5</v>
      </c>
    </row>
    <row r="3688" spans="1:12" ht="15.75" hidden="1" thickBot="1" x14ac:dyDescent="0.3">
      <c r="A3688" s="180" t="s">
        <v>2136</v>
      </c>
      <c r="B3688" s="178" t="str">
        <f>INDEX(Orçamentária!A:B,MATCH(Composições!A3688,Orçamentária!A:A,0),2)</f>
        <v>Guarda-corpo panorâmico</v>
      </c>
      <c r="C3688" s="30"/>
      <c r="D3688" s="13" t="str">
        <f>TRIM(INDEX(Orçamentária!C:C,MATCH(Composições!A3688,Orçamentária!A:A,0),1))</f>
        <v>m</v>
      </c>
      <c r="E3688" s="14"/>
      <c r="F3688" s="15" t="s">
        <v>2137</v>
      </c>
      <c r="G3688" s="40" t="s">
        <v>1079</v>
      </c>
      <c r="H3688" s="16"/>
      <c r="I3688" s="16" t="str">
        <f>IF(ISNUMBER(G3688),E3688*G3688,"")</f>
        <v/>
      </c>
      <c r="J3688" s="17"/>
      <c r="K3688" s="18"/>
      <c r="L3688" s="174">
        <v>0</v>
      </c>
    </row>
    <row r="3689" spans="1:12" ht="15.75" hidden="1" thickBot="1" x14ac:dyDescent="0.3">
      <c r="A3689" s="186"/>
      <c r="B3689" s="179"/>
      <c r="C3689" s="20"/>
      <c r="D3689" s="20"/>
      <c r="E3689" s="21"/>
      <c r="F3689" s="22"/>
      <c r="G3689" s="46" t="s">
        <v>1079</v>
      </c>
      <c r="H3689" s="20"/>
      <c r="I3689" s="46" t="str">
        <f>IF(ISNUMBER(G3689),E3689*G3689,"")</f>
        <v/>
      </c>
      <c r="J3689" s="69"/>
      <c r="K3689" s="70"/>
      <c r="L3689" s="174">
        <v>0</v>
      </c>
    </row>
    <row r="3690" spans="1:12" ht="15.75" hidden="1" thickBot="1" x14ac:dyDescent="0.3">
      <c r="A3690" s="186"/>
      <c r="B3690" s="179"/>
      <c r="C3690" s="25" t="s">
        <v>2138</v>
      </c>
      <c r="D3690" s="36" t="s">
        <v>1629</v>
      </c>
      <c r="E3690" s="26">
        <v>1.4</v>
      </c>
      <c r="F3690" s="27" t="s">
        <v>2137</v>
      </c>
      <c r="G3690" s="46">
        <v>5.3295000000000003</v>
      </c>
      <c r="H3690" s="27" t="s">
        <v>2139</v>
      </c>
      <c r="I3690" s="46">
        <f>IF(ISNUMBER(G3690),E3690*G3690,"")</f>
        <v>7.4612999999999996</v>
      </c>
      <c r="J3690" s="28">
        <f>SUM(I3690:I3699)</f>
        <v>734.03889399999991</v>
      </c>
      <c r="K3690" s="29"/>
      <c r="L3690" s="174">
        <v>0</v>
      </c>
    </row>
    <row r="3691" spans="1:12" ht="15.75" hidden="1" thickBot="1" x14ac:dyDescent="0.3">
      <c r="A3691" s="186"/>
      <c r="B3691" s="179"/>
      <c r="C3691" s="25" t="s">
        <v>2140</v>
      </c>
      <c r="D3691" s="36" t="s">
        <v>1629</v>
      </c>
      <c r="E3691" s="26">
        <v>3.0000000000000001E-3</v>
      </c>
      <c r="F3691" s="27" t="s">
        <v>2137</v>
      </c>
      <c r="G3691" s="46">
        <v>16.083499999999997</v>
      </c>
      <c r="H3691" s="27" t="s">
        <v>2141</v>
      </c>
      <c r="I3691" s="46">
        <f>IF(ISNUMBER(G3691),E3691*G3691,"")</f>
        <v>4.8250499999999995E-2</v>
      </c>
      <c r="J3691" s="69"/>
      <c r="K3691" s="70"/>
      <c r="L3691" s="174">
        <v>0</v>
      </c>
    </row>
    <row r="3692" spans="1:12" ht="26.25" hidden="1" thickBot="1" x14ac:dyDescent="0.3">
      <c r="A3692" s="186"/>
      <c r="B3692" s="179"/>
      <c r="C3692" s="25" t="s">
        <v>1863</v>
      </c>
      <c r="D3692" s="25" t="s">
        <v>588</v>
      </c>
      <c r="E3692" s="26">
        <v>3.3330000000000002</v>
      </c>
      <c r="F3692" s="27" t="s">
        <v>2137</v>
      </c>
      <c r="G3692" s="46">
        <v>1.7765</v>
      </c>
      <c r="H3692" s="27" t="s">
        <v>1864</v>
      </c>
      <c r="I3692" s="46">
        <f>IF(ISNUMBER(G3692),E3692*G3692,"")</f>
        <v>5.9210745000000005</v>
      </c>
      <c r="J3692" s="69"/>
      <c r="K3692" s="70"/>
      <c r="L3692" s="174">
        <v>0</v>
      </c>
    </row>
    <row r="3693" spans="1:12" ht="39" hidden="1" thickBot="1" x14ac:dyDescent="0.3">
      <c r="A3693" s="186"/>
      <c r="B3693" s="179"/>
      <c r="C3693" s="25" t="s">
        <v>2142</v>
      </c>
      <c r="D3693" s="25" t="s">
        <v>588</v>
      </c>
      <c r="E3693" s="26">
        <v>5</v>
      </c>
      <c r="F3693" s="27" t="s">
        <v>2137</v>
      </c>
      <c r="G3693" s="46">
        <v>0.33249999999999996</v>
      </c>
      <c r="H3693" s="27" t="s">
        <v>2143</v>
      </c>
      <c r="I3693" s="46">
        <f>IF(ISNUMBER(G3693),E3693*G3693,"")</f>
        <v>1.6624999999999999</v>
      </c>
      <c r="J3693" s="69"/>
      <c r="K3693" s="70"/>
      <c r="L3693" s="174">
        <v>0</v>
      </c>
    </row>
    <row r="3694" spans="1:12" ht="26.25" hidden="1" thickBot="1" x14ac:dyDescent="0.3">
      <c r="A3694" s="186"/>
      <c r="B3694" s="179"/>
      <c r="C3694" s="25" t="s">
        <v>2144</v>
      </c>
      <c r="D3694" s="25" t="s">
        <v>988</v>
      </c>
      <c r="E3694" s="26">
        <v>3.149</v>
      </c>
      <c r="F3694" s="27" t="s">
        <v>2137</v>
      </c>
      <c r="G3694" s="46">
        <v>7.125</v>
      </c>
      <c r="H3694" s="27" t="s">
        <v>2145</v>
      </c>
      <c r="I3694" s="46">
        <f>IF(ISNUMBER(G3694),E3694*G3694,"")</f>
        <v>22.436624999999999</v>
      </c>
      <c r="J3694" s="69"/>
      <c r="K3694" s="70"/>
      <c r="L3694" s="174">
        <v>0</v>
      </c>
    </row>
    <row r="3695" spans="1:12" ht="15.75" hidden="1" thickBot="1" x14ac:dyDescent="0.3">
      <c r="A3695" s="186"/>
      <c r="B3695" s="179"/>
      <c r="C3695" s="25" t="s">
        <v>1560</v>
      </c>
      <c r="D3695" s="25" t="s">
        <v>1629</v>
      </c>
      <c r="E3695" s="26">
        <v>3.4089999999999998</v>
      </c>
      <c r="F3695" s="27" t="s">
        <v>2137</v>
      </c>
      <c r="G3695" s="46">
        <v>27.350499999999997</v>
      </c>
      <c r="H3695" s="27" t="s">
        <v>1561</v>
      </c>
      <c r="I3695" s="46">
        <f>IF(ISNUMBER(G3695),E3695*G3695,"")</f>
        <v>93.237854499999983</v>
      </c>
      <c r="J3695" s="69"/>
      <c r="K3695" s="70"/>
      <c r="L3695" s="174">
        <v>0</v>
      </c>
    </row>
    <row r="3696" spans="1:12" ht="26.25" hidden="1" thickBot="1" x14ac:dyDescent="0.3">
      <c r="A3696" s="186"/>
      <c r="B3696" s="179"/>
      <c r="C3696" s="25" t="s">
        <v>2146</v>
      </c>
      <c r="D3696" s="25" t="s">
        <v>1795</v>
      </c>
      <c r="E3696" s="26">
        <v>0.998</v>
      </c>
      <c r="F3696" s="27" t="s">
        <v>2137</v>
      </c>
      <c r="G3696" s="46">
        <v>485.03199999999998</v>
      </c>
      <c r="H3696" s="27" t="s">
        <v>2147</v>
      </c>
      <c r="I3696" s="46">
        <f>IF(ISNUMBER(G3696),E3696*G3696,"")</f>
        <v>484.061936</v>
      </c>
      <c r="J3696" s="69"/>
      <c r="K3696" s="70"/>
      <c r="L3696" s="174">
        <v>0</v>
      </c>
    </row>
    <row r="3697" spans="1:12" ht="15.75" hidden="1" thickBot="1" x14ac:dyDescent="0.3">
      <c r="A3697" s="186"/>
      <c r="B3697" s="179"/>
      <c r="C3697" s="25" t="s">
        <v>2034</v>
      </c>
      <c r="D3697" s="36" t="s">
        <v>588</v>
      </c>
      <c r="E3697" s="26">
        <v>0.85499999999999998</v>
      </c>
      <c r="F3697" s="27" t="s">
        <v>2137</v>
      </c>
      <c r="G3697" s="46">
        <v>14.354499999999998</v>
      </c>
      <c r="H3697" s="27" t="s">
        <v>622</v>
      </c>
      <c r="I3697" s="46">
        <f>IF(ISNUMBER(G3697),E3697*G3697,"")</f>
        <v>12.273097499999999</v>
      </c>
      <c r="J3697" s="69"/>
      <c r="K3697" s="70"/>
      <c r="L3697" s="174">
        <v>0</v>
      </c>
    </row>
    <row r="3698" spans="1:12" ht="15.75" hidden="1" thickBot="1" x14ac:dyDescent="0.3">
      <c r="A3698" s="186"/>
      <c r="B3698" s="179"/>
      <c r="C3698" s="25" t="s">
        <v>1503</v>
      </c>
      <c r="D3698" s="36" t="s">
        <v>1366</v>
      </c>
      <c r="E3698" s="26">
        <v>2.754</v>
      </c>
      <c r="F3698" s="27" t="s">
        <v>2137</v>
      </c>
      <c r="G3698" s="46">
        <v>15.627499999999998</v>
      </c>
      <c r="H3698" s="27" t="s">
        <v>1226</v>
      </c>
      <c r="I3698" s="46">
        <f>IF(ISNUMBER(G3698),E3698*G3698,"")</f>
        <v>43.038134999999997</v>
      </c>
      <c r="J3698" s="69"/>
      <c r="K3698" s="70"/>
      <c r="L3698" s="174">
        <v>0</v>
      </c>
    </row>
    <row r="3699" spans="1:12" ht="15.75" hidden="1" thickBot="1" x14ac:dyDescent="0.3">
      <c r="A3699" s="186"/>
      <c r="B3699" s="179"/>
      <c r="C3699" s="25" t="s">
        <v>2148</v>
      </c>
      <c r="D3699" s="36" t="s">
        <v>1366</v>
      </c>
      <c r="E3699" s="26">
        <v>3.3530000000000002</v>
      </c>
      <c r="F3699" s="27" t="s">
        <v>2137</v>
      </c>
      <c r="G3699" s="46">
        <v>19.056999999999999</v>
      </c>
      <c r="H3699" s="27" t="s">
        <v>1224</v>
      </c>
      <c r="I3699" s="46">
        <f>IF(ISNUMBER(G3699),E3699*G3699,"")</f>
        <v>63.898120999999996</v>
      </c>
      <c r="J3699" s="69"/>
      <c r="K3699" s="70"/>
      <c r="L3699" s="174">
        <v>0</v>
      </c>
    </row>
    <row r="3700" spans="1:12" ht="15.75" hidden="1" thickBot="1" x14ac:dyDescent="0.3">
      <c r="A3700" s="187"/>
      <c r="B3700" s="183"/>
      <c r="C3700" s="47"/>
      <c r="D3700" s="47"/>
      <c r="E3700" s="60"/>
      <c r="F3700" s="61"/>
      <c r="G3700" s="73" t="s">
        <v>1079</v>
      </c>
      <c r="H3700" s="61"/>
      <c r="I3700" s="73" t="str">
        <f>IF(ISNUMBER(G3700),E3700*G3700,"")</f>
        <v/>
      </c>
      <c r="J3700" s="75"/>
      <c r="K3700" s="70"/>
      <c r="L3700" s="174">
        <v>0</v>
      </c>
    </row>
    <row r="3701" spans="1:12" ht="15.75" thickBot="1" x14ac:dyDescent="0.3">
      <c r="A3701" s="288" t="s">
        <v>2149</v>
      </c>
      <c r="B3701" s="289" t="str">
        <f>INDEX(Orçamentária!A:B,MATCH(Composições!A3701,Orçamentária!A:A,0),2)</f>
        <v>Perfil “U” em aço 25 x 25mm</v>
      </c>
      <c r="C3701" s="274"/>
      <c r="D3701" s="265" t="str">
        <f>TRIM(INDEX(Orçamentária!C:C,MATCH(Composições!A3701,Orçamentária!A:A,0),1))</f>
        <v>m</v>
      </c>
      <c r="E3701" s="290"/>
      <c r="F3701" s="259" t="s">
        <v>17</v>
      </c>
      <c r="G3701" s="260" t="s">
        <v>1079</v>
      </c>
      <c r="H3701" s="261"/>
      <c r="I3701" s="261" t="str">
        <f>IF(ISNUMBER(G3701),E3701*G3701,"")</f>
        <v/>
      </c>
      <c r="J3701" s="280"/>
      <c r="K3701" s="18"/>
      <c r="L3701" s="174">
        <v>4</v>
      </c>
    </row>
    <row r="3702" spans="1:12" x14ac:dyDescent="0.25">
      <c r="A3702" s="300"/>
      <c r="B3702" s="292"/>
      <c r="C3702" s="155"/>
      <c r="D3702" s="155"/>
      <c r="E3702" s="293"/>
      <c r="F3702" s="294"/>
      <c r="G3702" s="262" t="s">
        <v>1079</v>
      </c>
      <c r="H3702" s="155"/>
      <c r="I3702" s="257" t="str">
        <f>IF(ISNUMBER(G3702),E3702*G3702,"")</f>
        <v/>
      </c>
      <c r="J3702" s="281"/>
      <c r="K3702" s="19"/>
      <c r="L3702" s="174">
        <v>4</v>
      </c>
    </row>
    <row r="3703" spans="1:12" x14ac:dyDescent="0.25">
      <c r="A3703" s="300"/>
      <c r="B3703" s="292"/>
      <c r="C3703" s="105" t="s">
        <v>134</v>
      </c>
      <c r="D3703" s="271" t="s">
        <v>21</v>
      </c>
      <c r="E3703" s="250">
        <f>1/10</f>
        <v>0.1</v>
      </c>
      <c r="F3703" s="176" t="s">
        <v>17</v>
      </c>
      <c r="G3703" s="257">
        <v>17.850499999999997</v>
      </c>
      <c r="H3703" s="176" t="s">
        <v>135</v>
      </c>
      <c r="I3703" s="258">
        <f>IF(ISNUMBER(G3703),E3703*G3703,"")</f>
        <v>1.7850499999999998</v>
      </c>
      <c r="J3703" s="295">
        <f>SUM(I3703:I3704)</f>
        <v>9.2925500000000003</v>
      </c>
      <c r="K3703" s="29"/>
      <c r="L3703" s="174">
        <v>4</v>
      </c>
    </row>
    <row r="3704" spans="1:12" x14ac:dyDescent="0.25">
      <c r="A3704" s="300"/>
      <c r="B3704" s="292"/>
      <c r="C3704" s="105" t="s">
        <v>2150</v>
      </c>
      <c r="D3704" s="271" t="s">
        <v>184</v>
      </c>
      <c r="E3704" s="250">
        <v>1.05</v>
      </c>
      <c r="F3704" s="176" t="s">
        <v>17</v>
      </c>
      <c r="G3704" s="258">
        <v>7.15</v>
      </c>
      <c r="H3704" s="176" t="s">
        <v>33</v>
      </c>
      <c r="I3704" s="258">
        <f>IF(ISNUMBER(G3704),E3704*G3704,"")</f>
        <v>7.5075000000000003</v>
      </c>
      <c r="J3704" s="281"/>
      <c r="K3704" s="19"/>
      <c r="L3704" s="174">
        <v>4</v>
      </c>
    </row>
    <row r="3705" spans="1:12" ht="15.75" thickBot="1" x14ac:dyDescent="0.3">
      <c r="A3705" s="301"/>
      <c r="B3705" s="297"/>
      <c r="C3705" s="105"/>
      <c r="D3705" s="271"/>
      <c r="E3705" s="250"/>
      <c r="F3705" s="176"/>
      <c r="G3705" s="258" t="s">
        <v>1079</v>
      </c>
      <c r="H3705" s="176"/>
      <c r="I3705" s="258" t="str">
        <f>IF(ISNUMBER(G3705),E3705*G3705,"")</f>
        <v/>
      </c>
      <c r="J3705" s="281"/>
      <c r="K3705" s="19"/>
      <c r="L3705" s="174">
        <v>4</v>
      </c>
    </row>
    <row r="3706" spans="1:12" ht="15.75" hidden="1" thickBot="1" x14ac:dyDescent="0.3">
      <c r="A3706" s="180" t="s">
        <v>2151</v>
      </c>
      <c r="B3706" s="178" t="str">
        <f>INDEX(Orçamentária!A:B,MATCH(Composições!A3706,Orçamentária!A:A,0),2)</f>
        <v>Alimentação para mão-de-obra indireta</v>
      </c>
      <c r="C3706" s="30"/>
      <c r="D3706" s="13" t="str">
        <f>TRIM(INDEX(Orçamentária!C:C,MATCH(Composições!A3706,Orçamentária!A:A,0),1))</f>
        <v>h</v>
      </c>
      <c r="E3706" s="14"/>
      <c r="F3706" s="71" t="s">
        <v>2152</v>
      </c>
      <c r="G3706" s="40" t="s">
        <v>1079</v>
      </c>
      <c r="H3706" s="16"/>
      <c r="I3706" s="16" t="str">
        <f>IF(ISNUMBER(G3706),E3706*G3706,"")</f>
        <v/>
      </c>
      <c r="J3706" s="17"/>
      <c r="K3706" s="18"/>
      <c r="L3706" s="174">
        <v>0</v>
      </c>
    </row>
    <row r="3707" spans="1:12" hidden="1" x14ac:dyDescent="0.25">
      <c r="A3707" s="186"/>
      <c r="B3707" s="179"/>
      <c r="C3707" s="20"/>
      <c r="D3707" s="20"/>
      <c r="E3707" s="21"/>
      <c r="F3707" s="22"/>
      <c r="G3707" s="46" t="s">
        <v>1079</v>
      </c>
      <c r="H3707" s="20"/>
      <c r="I3707" s="46" t="str">
        <f>IF(ISNUMBER(G3707),E3707*G3707,"")</f>
        <v/>
      </c>
      <c r="J3707" s="69"/>
      <c r="K3707" s="70"/>
      <c r="L3707" s="174">
        <v>0</v>
      </c>
    </row>
    <row r="3708" spans="1:12" hidden="1" x14ac:dyDescent="0.25">
      <c r="A3708" s="186"/>
      <c r="B3708" s="179"/>
      <c r="C3708" s="25" t="s">
        <v>2153</v>
      </c>
      <c r="D3708" s="25" t="s">
        <v>21</v>
      </c>
      <c r="E3708" s="26">
        <v>1</v>
      </c>
      <c r="F3708" s="26" t="s">
        <v>2152</v>
      </c>
      <c r="G3708" s="46">
        <v>2.4414999999999996</v>
      </c>
      <c r="H3708" s="26" t="s">
        <v>2152</v>
      </c>
      <c r="I3708" s="46">
        <f>IF(ISNUMBER(G3708),E3708*G3708,"")</f>
        <v>2.4414999999999996</v>
      </c>
      <c r="J3708" s="28">
        <f>SUM(I3708:I3708)</f>
        <v>2.4414999999999996</v>
      </c>
      <c r="K3708" s="29"/>
      <c r="L3708" s="174">
        <v>0</v>
      </c>
    </row>
    <row r="3709" spans="1:12" ht="15.75" hidden="1" thickBot="1" x14ac:dyDescent="0.3">
      <c r="A3709" s="186"/>
      <c r="B3709" s="179"/>
      <c r="C3709" s="47"/>
      <c r="D3709" s="47"/>
      <c r="E3709" s="60"/>
      <c r="F3709" s="61"/>
      <c r="G3709" s="73" t="s">
        <v>1079</v>
      </c>
      <c r="H3709" s="61"/>
      <c r="I3709" s="73" t="str">
        <f>IF(ISNUMBER(G3709),E3709*G3709,"")</f>
        <v/>
      </c>
      <c r="J3709" s="75"/>
      <c r="K3709" s="70"/>
      <c r="L3709" s="174">
        <v>0</v>
      </c>
    </row>
    <row r="3710" spans="1:12" ht="15.75" hidden="1" thickBot="1" x14ac:dyDescent="0.3">
      <c r="A3710" s="180" t="s">
        <v>2154</v>
      </c>
      <c r="B3710" s="178" t="str">
        <f>INDEX(Orçamentária!A:B,MATCH(Composições!A3710,Orçamentária!A:A,0),2)</f>
        <v>Transporte para mão-de-obra indireta</v>
      </c>
      <c r="C3710" s="30"/>
      <c r="D3710" s="13" t="str">
        <f>TRIM(INDEX(Orçamentária!C:C,MATCH(Composições!A3710,Orçamentária!A:A,0),1))</f>
        <v>h</v>
      </c>
      <c r="E3710" s="14"/>
      <c r="F3710" s="71" t="s">
        <v>2155</v>
      </c>
      <c r="G3710" s="40" t="s">
        <v>1079</v>
      </c>
      <c r="H3710" s="16"/>
      <c r="I3710" s="16" t="str">
        <f>IF(ISNUMBER(G3710),E3710*G3710,"")</f>
        <v/>
      </c>
      <c r="J3710" s="17"/>
      <c r="K3710" s="18"/>
      <c r="L3710" s="174">
        <v>0</v>
      </c>
    </row>
    <row r="3711" spans="1:12" hidden="1" x14ac:dyDescent="0.25">
      <c r="A3711" s="186"/>
      <c r="B3711" s="179"/>
      <c r="C3711" s="20"/>
      <c r="D3711" s="20"/>
      <c r="E3711" s="21"/>
      <c r="F3711" s="22"/>
      <c r="G3711" s="46" t="s">
        <v>1079</v>
      </c>
      <c r="H3711" s="20"/>
      <c r="I3711" s="46" t="str">
        <f>IF(ISNUMBER(G3711),E3711*G3711,"")</f>
        <v/>
      </c>
      <c r="J3711" s="69"/>
      <c r="K3711" s="70"/>
      <c r="L3711" s="174">
        <v>0</v>
      </c>
    </row>
    <row r="3712" spans="1:12" hidden="1" x14ac:dyDescent="0.25">
      <c r="A3712" s="186"/>
      <c r="B3712" s="179"/>
      <c r="C3712" s="25" t="s">
        <v>2156</v>
      </c>
      <c r="D3712" s="25" t="s">
        <v>1366</v>
      </c>
      <c r="E3712" s="26">
        <v>1.05</v>
      </c>
      <c r="F3712" s="26" t="s">
        <v>2155</v>
      </c>
      <c r="G3712" s="46">
        <v>1.292</v>
      </c>
      <c r="H3712" s="26" t="s">
        <v>2155</v>
      </c>
      <c r="I3712" s="46">
        <f>IF(ISNUMBER(G3712),E3712*G3712,"")</f>
        <v>1.3566</v>
      </c>
      <c r="J3712" s="28">
        <f>SUM(I3712:I3712)</f>
        <v>1.3566</v>
      </c>
      <c r="K3712" s="29"/>
      <c r="L3712" s="174">
        <v>0</v>
      </c>
    </row>
    <row r="3713" spans="1:12" ht="15.75" hidden="1" thickBot="1" x14ac:dyDescent="0.3">
      <c r="A3713" s="187"/>
      <c r="B3713" s="183"/>
      <c r="C3713" s="47"/>
      <c r="D3713" s="47"/>
      <c r="E3713" s="60"/>
      <c r="F3713" s="61"/>
      <c r="G3713" s="73" t="s">
        <v>1079</v>
      </c>
      <c r="H3713" s="61"/>
      <c r="I3713" s="73" t="str">
        <f>IF(ISNUMBER(G3713),E3713*G3713,"")</f>
        <v/>
      </c>
      <c r="J3713" s="75"/>
      <c r="K3713" s="70"/>
      <c r="L3713" s="174">
        <v>0</v>
      </c>
    </row>
    <row r="3714" spans="1:12" ht="15.75" hidden="1" thickBot="1" x14ac:dyDescent="0.3">
      <c r="A3714" s="180" t="s">
        <v>2157</v>
      </c>
      <c r="B3714" s="178" t="str">
        <f>INDEX(Orçamentária!A:B,MATCH(Composições!A3714,Orçamentária!A:A,0),2)</f>
        <v>Cotovelo bolsa–bolsa 90° para solda em tubulação de cobre diâmetro de 1 3/8"</v>
      </c>
      <c r="C3714" s="30"/>
      <c r="D3714" s="13" t="str">
        <f>TRIM(INDEX(Orçamentária!C:C,MATCH(Composições!A3714,Orçamentária!A:A,0),1))</f>
        <v>un</v>
      </c>
      <c r="E3714" s="14"/>
      <c r="F3714" s="15" t="s">
        <v>2158</v>
      </c>
      <c r="G3714" s="40" t="s">
        <v>1079</v>
      </c>
      <c r="H3714" s="16"/>
      <c r="I3714" s="16" t="str">
        <f>IF(ISNUMBER(G3714),E3714*G3714,"")</f>
        <v/>
      </c>
      <c r="J3714" s="17"/>
      <c r="K3714" s="18"/>
      <c r="L3714" s="174">
        <v>0</v>
      </c>
    </row>
    <row r="3715" spans="1:12" hidden="1" x14ac:dyDescent="0.25">
      <c r="A3715" s="186"/>
      <c r="B3715" s="179"/>
      <c r="C3715" s="20"/>
      <c r="D3715" s="20"/>
      <c r="E3715" s="21"/>
      <c r="F3715" s="22"/>
      <c r="G3715" s="46" t="s">
        <v>1079</v>
      </c>
      <c r="H3715" s="20"/>
      <c r="I3715" s="46" t="str">
        <f>IF(ISNUMBER(G3715),E3715*G3715,"")</f>
        <v/>
      </c>
      <c r="J3715" s="69"/>
      <c r="K3715" s="70"/>
      <c r="L3715" s="174">
        <v>0</v>
      </c>
    </row>
    <row r="3716" spans="1:12" ht="25.5" hidden="1" x14ac:dyDescent="0.25">
      <c r="A3716" s="186"/>
      <c r="B3716" s="179"/>
      <c r="C3716" s="25" t="s">
        <v>2159</v>
      </c>
      <c r="D3716" s="36" t="s">
        <v>588</v>
      </c>
      <c r="E3716" s="26">
        <v>1</v>
      </c>
      <c r="F3716" s="27" t="s">
        <v>2158</v>
      </c>
      <c r="G3716" s="46">
        <v>24.015999999999998</v>
      </c>
      <c r="H3716" s="27" t="s">
        <v>2160</v>
      </c>
      <c r="I3716" s="46">
        <f>IF(ISNUMBER(G3716),E3716*G3716,"")</f>
        <v>24.015999999999998</v>
      </c>
      <c r="J3716" s="28">
        <f>SUM(I3716:I3721)</f>
        <v>30.440994399999997</v>
      </c>
      <c r="K3716" s="29"/>
      <c r="L3716" s="174">
        <v>0</v>
      </c>
    </row>
    <row r="3717" spans="1:12" ht="25.5" hidden="1" x14ac:dyDescent="0.25">
      <c r="A3717" s="186"/>
      <c r="B3717" s="179"/>
      <c r="C3717" s="25" t="s">
        <v>2161</v>
      </c>
      <c r="D3717" s="36" t="s">
        <v>588</v>
      </c>
      <c r="E3717" s="26">
        <v>8.3999999999999995E-3</v>
      </c>
      <c r="F3717" s="27" t="s">
        <v>2158</v>
      </c>
      <c r="G3717" s="46">
        <v>177.39349999999999</v>
      </c>
      <c r="H3717" s="27" t="s">
        <v>2162</v>
      </c>
      <c r="I3717" s="46">
        <f>IF(ISNUMBER(G3717),E3717*G3717,"")</f>
        <v>1.4901053999999998</v>
      </c>
      <c r="J3717" s="69"/>
      <c r="K3717" s="70"/>
      <c r="L3717" s="174">
        <v>0</v>
      </c>
    </row>
    <row r="3718" spans="1:12" hidden="1" x14ac:dyDescent="0.25">
      <c r="A3718" s="186"/>
      <c r="B3718" s="179"/>
      <c r="C3718" s="25" t="s">
        <v>2163</v>
      </c>
      <c r="D3718" s="25" t="s">
        <v>588</v>
      </c>
      <c r="E3718" s="26">
        <v>5.9400000000000001E-2</v>
      </c>
      <c r="F3718" s="27" t="s">
        <v>2158</v>
      </c>
      <c r="G3718" s="46">
        <v>1.5579999999999998</v>
      </c>
      <c r="H3718" s="27" t="s">
        <v>655</v>
      </c>
      <c r="I3718" s="46">
        <f>IF(ISNUMBER(G3718),E3718*G3718,"")</f>
        <v>9.2545199999999994E-2</v>
      </c>
      <c r="J3718" s="69"/>
      <c r="K3718" s="70"/>
      <c r="L3718" s="174">
        <v>0</v>
      </c>
    </row>
    <row r="3719" spans="1:12" ht="25.5" hidden="1" x14ac:dyDescent="0.25">
      <c r="A3719" s="186"/>
      <c r="B3719" s="179"/>
      <c r="C3719" s="25" t="s">
        <v>2164</v>
      </c>
      <c r="D3719" s="25" t="s">
        <v>588</v>
      </c>
      <c r="E3719" s="26">
        <v>1.0800000000000001E-2</v>
      </c>
      <c r="F3719" s="27" t="s">
        <v>2158</v>
      </c>
      <c r="G3719" s="46">
        <v>32.518499999999996</v>
      </c>
      <c r="H3719" s="27" t="s">
        <v>2165</v>
      </c>
      <c r="I3719" s="46">
        <f>IF(ISNUMBER(G3719),E3719*G3719,"")</f>
        <v>0.35119979999999995</v>
      </c>
      <c r="J3719" s="69"/>
      <c r="K3719" s="70"/>
      <c r="L3719" s="174">
        <v>0</v>
      </c>
    </row>
    <row r="3720" spans="1:12" ht="25.5" hidden="1" x14ac:dyDescent="0.25">
      <c r="A3720" s="186"/>
      <c r="B3720" s="179"/>
      <c r="C3720" s="25" t="s">
        <v>1712</v>
      </c>
      <c r="D3720" s="25" t="s">
        <v>1366</v>
      </c>
      <c r="E3720" s="26">
        <v>0.13400000000000001</v>
      </c>
      <c r="F3720" s="27" t="s">
        <v>2158</v>
      </c>
      <c r="G3720" s="46">
        <v>14.772500000000001</v>
      </c>
      <c r="H3720" s="27" t="s">
        <v>226</v>
      </c>
      <c r="I3720" s="46">
        <f>IF(ISNUMBER(G3720),E3720*G3720,"")</f>
        <v>1.9795150000000001</v>
      </c>
      <c r="J3720" s="69"/>
      <c r="K3720" s="70"/>
      <c r="L3720" s="174">
        <v>0</v>
      </c>
    </row>
    <row r="3721" spans="1:12" ht="25.5" hidden="1" x14ac:dyDescent="0.25">
      <c r="A3721" s="186"/>
      <c r="B3721" s="179"/>
      <c r="C3721" s="25" t="s">
        <v>1713</v>
      </c>
      <c r="D3721" s="25" t="s">
        <v>1366</v>
      </c>
      <c r="E3721" s="26">
        <v>0.13400000000000001</v>
      </c>
      <c r="F3721" s="27" t="s">
        <v>2158</v>
      </c>
      <c r="G3721" s="46">
        <v>18.743500000000001</v>
      </c>
      <c r="H3721" s="27" t="s">
        <v>71</v>
      </c>
      <c r="I3721" s="46">
        <f>IF(ISNUMBER(G3721),E3721*G3721,"")</f>
        <v>2.5116290000000001</v>
      </c>
      <c r="J3721" s="69"/>
      <c r="K3721" s="70"/>
      <c r="L3721" s="174">
        <v>0</v>
      </c>
    </row>
    <row r="3722" spans="1:12" ht="15.75" hidden="1" thickBot="1" x14ac:dyDescent="0.3">
      <c r="A3722" s="187"/>
      <c r="B3722" s="183"/>
      <c r="C3722" s="47"/>
      <c r="D3722" s="47"/>
      <c r="E3722" s="60"/>
      <c r="F3722" s="61"/>
      <c r="G3722" s="73" t="s">
        <v>1079</v>
      </c>
      <c r="H3722" s="61"/>
      <c r="I3722" s="73" t="str">
        <f>IF(ISNUMBER(G3722),E3722*G3722,"")</f>
        <v/>
      </c>
      <c r="J3722" s="75"/>
      <c r="K3722" s="70"/>
      <c r="L3722" s="174">
        <v>0</v>
      </c>
    </row>
    <row r="3723" spans="1:12" ht="15.75" hidden="1" thickBot="1" x14ac:dyDescent="0.3">
      <c r="A3723" s="180" t="s">
        <v>2166</v>
      </c>
      <c r="B3723" s="178" t="str">
        <f>INDEX(Orçamentária!A:B,MATCH(Composições!A3723,Orçamentária!A:A,0),2)</f>
        <v>Cotovelo bolsa–bolsa 90° para solda em tubulação de cobre diâmetro de 1 5/8"</v>
      </c>
      <c r="C3723" s="30"/>
      <c r="D3723" s="13" t="str">
        <f>TRIM(INDEX(Orçamentária!C:C,MATCH(Composições!A3723,Orçamentária!A:A,0),1))</f>
        <v>un</v>
      </c>
      <c r="E3723" s="14"/>
      <c r="F3723" s="15" t="s">
        <v>2167</v>
      </c>
      <c r="G3723" s="40" t="s">
        <v>1079</v>
      </c>
      <c r="H3723" s="16"/>
      <c r="I3723" s="16" t="str">
        <f>IF(ISNUMBER(G3723),E3723*G3723,"")</f>
        <v/>
      </c>
      <c r="J3723" s="17"/>
      <c r="K3723" s="18"/>
      <c r="L3723" s="174">
        <v>0</v>
      </c>
    </row>
    <row r="3724" spans="1:12" hidden="1" x14ac:dyDescent="0.25">
      <c r="A3724" s="186"/>
      <c r="B3724" s="179"/>
      <c r="C3724" s="20"/>
      <c r="D3724" s="20"/>
      <c r="E3724" s="21"/>
      <c r="F3724" s="22"/>
      <c r="G3724" s="46" t="s">
        <v>1079</v>
      </c>
      <c r="H3724" s="20"/>
      <c r="I3724" s="46" t="str">
        <f>IF(ISNUMBER(G3724),E3724*G3724,"")</f>
        <v/>
      </c>
      <c r="J3724" s="69"/>
      <c r="K3724" s="70"/>
      <c r="L3724" s="174">
        <v>0</v>
      </c>
    </row>
    <row r="3725" spans="1:12" ht="25.5" hidden="1" x14ac:dyDescent="0.25">
      <c r="A3725" s="186"/>
      <c r="B3725" s="179"/>
      <c r="C3725" s="25" t="s">
        <v>2168</v>
      </c>
      <c r="D3725" s="36" t="s">
        <v>588</v>
      </c>
      <c r="E3725" s="26">
        <v>1</v>
      </c>
      <c r="F3725" s="27" t="s">
        <v>2167</v>
      </c>
      <c r="G3725" s="46">
        <v>36.850499999999997</v>
      </c>
      <c r="H3725" s="27" t="s">
        <v>2169</v>
      </c>
      <c r="I3725" s="46">
        <f>IF(ISNUMBER(G3725),E3725*G3725,"")</f>
        <v>36.850499999999997</v>
      </c>
      <c r="J3725" s="28">
        <f>SUM(I3725:I3730)</f>
        <v>46.020248649999999</v>
      </c>
      <c r="K3725" s="29"/>
      <c r="L3725" s="174">
        <v>0</v>
      </c>
    </row>
    <row r="3726" spans="1:12" ht="25.5" hidden="1" x14ac:dyDescent="0.25">
      <c r="A3726" s="186"/>
      <c r="B3726" s="179"/>
      <c r="C3726" s="25" t="s">
        <v>2161</v>
      </c>
      <c r="D3726" s="36" t="s">
        <v>588</v>
      </c>
      <c r="E3726" s="26">
        <v>1.7600000000000001E-2</v>
      </c>
      <c r="F3726" s="27" t="s">
        <v>2167</v>
      </c>
      <c r="G3726" s="46">
        <v>177.39349999999999</v>
      </c>
      <c r="H3726" s="27" t="s">
        <v>2162</v>
      </c>
      <c r="I3726" s="46">
        <f>IF(ISNUMBER(G3726),E3726*G3726,"")</f>
        <v>3.1221255999999999</v>
      </c>
      <c r="J3726" s="69"/>
      <c r="K3726" s="70"/>
      <c r="L3726" s="174">
        <v>0</v>
      </c>
    </row>
    <row r="3727" spans="1:12" hidden="1" x14ac:dyDescent="0.25">
      <c r="A3727" s="186"/>
      <c r="B3727" s="179"/>
      <c r="C3727" s="25" t="s">
        <v>2163</v>
      </c>
      <c r="D3727" s="25" t="s">
        <v>588</v>
      </c>
      <c r="E3727" s="26">
        <v>6.93E-2</v>
      </c>
      <c r="F3727" s="27" t="s">
        <v>2167</v>
      </c>
      <c r="G3727" s="46">
        <v>1.5579999999999998</v>
      </c>
      <c r="H3727" s="27" t="s">
        <v>655</v>
      </c>
      <c r="I3727" s="46">
        <f>IF(ISNUMBER(G3727),E3727*G3727,"")</f>
        <v>0.10796939999999999</v>
      </c>
      <c r="J3727" s="69"/>
      <c r="K3727" s="70"/>
      <c r="L3727" s="174">
        <v>0</v>
      </c>
    </row>
    <row r="3728" spans="1:12" ht="25.5" hidden="1" x14ac:dyDescent="0.25">
      <c r="A3728" s="186"/>
      <c r="B3728" s="179"/>
      <c r="C3728" s="25" t="s">
        <v>2164</v>
      </c>
      <c r="D3728" s="25" t="s">
        <v>588</v>
      </c>
      <c r="E3728" s="26">
        <v>2.29E-2</v>
      </c>
      <c r="F3728" s="27" t="s">
        <v>2167</v>
      </c>
      <c r="G3728" s="46">
        <v>32.518499999999996</v>
      </c>
      <c r="H3728" s="27" t="s">
        <v>2165</v>
      </c>
      <c r="I3728" s="46">
        <f>IF(ISNUMBER(G3728),E3728*G3728,"")</f>
        <v>0.74467364999999996</v>
      </c>
      <c r="J3728" s="69"/>
      <c r="K3728" s="70"/>
      <c r="L3728" s="174">
        <v>0</v>
      </c>
    </row>
    <row r="3729" spans="1:12" ht="25.5" hidden="1" x14ac:dyDescent="0.25">
      <c r="A3729" s="186"/>
      <c r="B3729" s="179"/>
      <c r="C3729" s="25" t="s">
        <v>1712</v>
      </c>
      <c r="D3729" s="25" t="s">
        <v>1366</v>
      </c>
      <c r="E3729" s="26">
        <v>0.155</v>
      </c>
      <c r="F3729" s="27" t="s">
        <v>2167</v>
      </c>
      <c r="G3729" s="46">
        <v>14.772500000000001</v>
      </c>
      <c r="H3729" s="27" t="s">
        <v>226</v>
      </c>
      <c r="I3729" s="46">
        <f>IF(ISNUMBER(G3729),E3729*G3729,"")</f>
        <v>2.2897375000000002</v>
      </c>
      <c r="J3729" s="69"/>
      <c r="K3729" s="70"/>
      <c r="L3729" s="174">
        <v>0</v>
      </c>
    </row>
    <row r="3730" spans="1:12" ht="25.5" hidden="1" x14ac:dyDescent="0.25">
      <c r="A3730" s="186"/>
      <c r="B3730" s="179"/>
      <c r="C3730" s="25" t="s">
        <v>1713</v>
      </c>
      <c r="D3730" s="25" t="s">
        <v>1366</v>
      </c>
      <c r="E3730" s="26">
        <v>0.155</v>
      </c>
      <c r="F3730" s="27" t="s">
        <v>2167</v>
      </c>
      <c r="G3730" s="46">
        <v>18.743500000000001</v>
      </c>
      <c r="H3730" s="27" t="s">
        <v>71</v>
      </c>
      <c r="I3730" s="46">
        <f>IF(ISNUMBER(G3730),E3730*G3730,"")</f>
        <v>2.9052424999999999</v>
      </c>
      <c r="J3730" s="69"/>
      <c r="K3730" s="70"/>
      <c r="L3730" s="174">
        <v>0</v>
      </c>
    </row>
    <row r="3731" spans="1:12" ht="15.75" hidden="1" thickBot="1" x14ac:dyDescent="0.3">
      <c r="A3731" s="187"/>
      <c r="B3731" s="183"/>
      <c r="C3731" s="47"/>
      <c r="D3731" s="47"/>
      <c r="E3731" s="60"/>
      <c r="F3731" s="61"/>
      <c r="G3731" s="73" t="s">
        <v>1079</v>
      </c>
      <c r="H3731" s="61"/>
      <c r="I3731" s="73" t="str">
        <f>IF(ISNUMBER(G3731),E3731*G3731,"")</f>
        <v/>
      </c>
      <c r="J3731" s="75"/>
      <c r="K3731" s="70"/>
      <c r="L3731" s="174">
        <v>0</v>
      </c>
    </row>
    <row r="3732" spans="1:12" ht="15.75" hidden="1" thickBot="1" x14ac:dyDescent="0.3">
      <c r="A3732" s="180" t="s">
        <v>2170</v>
      </c>
      <c r="B3732" s="178" t="str">
        <f>INDEX(Orçamentária!A:B,MATCH(Composições!A3732,Orçamentária!A:A,0),2)</f>
        <v>Cotovelo bolsa–bolsa 90° para solda em tubulação de cobre diâmetro de 7/8"</v>
      </c>
      <c r="C3732" s="30"/>
      <c r="D3732" s="13" t="str">
        <f>TRIM(INDEX(Orçamentária!C:C,MATCH(Composições!A3732,Orçamentária!A:A,0),1))</f>
        <v>un</v>
      </c>
      <c r="E3732" s="14"/>
      <c r="F3732" s="15" t="s">
        <v>2171</v>
      </c>
      <c r="G3732" s="40" t="s">
        <v>1079</v>
      </c>
      <c r="H3732" s="16"/>
      <c r="I3732" s="16" t="str">
        <f>IF(ISNUMBER(G3732),E3732*G3732,"")</f>
        <v/>
      </c>
      <c r="J3732" s="17"/>
      <c r="K3732" s="18"/>
      <c r="L3732" s="174">
        <v>0</v>
      </c>
    </row>
    <row r="3733" spans="1:12" hidden="1" x14ac:dyDescent="0.25">
      <c r="A3733" s="186"/>
      <c r="B3733" s="179"/>
      <c r="C3733" s="20"/>
      <c r="D3733" s="20"/>
      <c r="E3733" s="21"/>
      <c r="F3733" s="22"/>
      <c r="G3733" s="46" t="s">
        <v>1079</v>
      </c>
      <c r="H3733" s="20"/>
      <c r="I3733" s="46" t="str">
        <f>IF(ISNUMBER(G3733),E3733*G3733,"")</f>
        <v/>
      </c>
      <c r="J3733" s="69"/>
      <c r="K3733" s="70"/>
      <c r="L3733" s="174">
        <v>0</v>
      </c>
    </row>
    <row r="3734" spans="1:12" ht="25.5" hidden="1" x14ac:dyDescent="0.25">
      <c r="A3734" s="186"/>
      <c r="B3734" s="179"/>
      <c r="C3734" s="25" t="s">
        <v>2172</v>
      </c>
      <c r="D3734" s="36" t="s">
        <v>588</v>
      </c>
      <c r="E3734" s="26">
        <v>1</v>
      </c>
      <c r="F3734" s="27" t="s">
        <v>2171</v>
      </c>
      <c r="G3734" s="46">
        <v>7.1154999999999999</v>
      </c>
      <c r="H3734" s="27" t="s">
        <v>2173</v>
      </c>
      <c r="I3734" s="46">
        <f>IF(ISNUMBER(G3734),E3734*G3734,"")</f>
        <v>7.1154999999999999</v>
      </c>
      <c r="J3734" s="28">
        <f>SUM(I3734:I3739)</f>
        <v>11.45669695</v>
      </c>
      <c r="K3734" s="29"/>
      <c r="L3734" s="174">
        <v>0</v>
      </c>
    </row>
    <row r="3735" spans="1:12" ht="25.5" hidden="1" x14ac:dyDescent="0.25">
      <c r="A3735" s="186"/>
      <c r="B3735" s="179"/>
      <c r="C3735" s="25" t="s">
        <v>2161</v>
      </c>
      <c r="D3735" s="36" t="s">
        <v>588</v>
      </c>
      <c r="E3735" s="26">
        <v>4.7999999999999996E-3</v>
      </c>
      <c r="F3735" s="27" t="s">
        <v>2171</v>
      </c>
      <c r="G3735" s="46">
        <v>177.39349999999999</v>
      </c>
      <c r="H3735" s="27" t="s">
        <v>2162</v>
      </c>
      <c r="I3735" s="46">
        <f>IF(ISNUMBER(G3735),E3735*G3735,"")</f>
        <v>0.85148879999999982</v>
      </c>
      <c r="J3735" s="69"/>
      <c r="K3735" s="70"/>
      <c r="L3735" s="174">
        <v>0</v>
      </c>
    </row>
    <row r="3736" spans="1:12" hidden="1" x14ac:dyDescent="0.25">
      <c r="A3736" s="186"/>
      <c r="B3736" s="179"/>
      <c r="C3736" s="25" t="s">
        <v>2163</v>
      </c>
      <c r="D3736" s="25" t="s">
        <v>588</v>
      </c>
      <c r="E3736" s="26">
        <v>4.3200000000000002E-2</v>
      </c>
      <c r="F3736" s="27" t="s">
        <v>2171</v>
      </c>
      <c r="G3736" s="46">
        <v>1.5579999999999998</v>
      </c>
      <c r="H3736" s="27" t="s">
        <v>655</v>
      </c>
      <c r="I3736" s="46">
        <f>IF(ISNUMBER(G3736),E3736*G3736,"")</f>
        <v>6.7305599999999993E-2</v>
      </c>
      <c r="J3736" s="69"/>
      <c r="K3736" s="70"/>
      <c r="L3736" s="174">
        <v>0</v>
      </c>
    </row>
    <row r="3737" spans="1:12" ht="25.5" hidden="1" x14ac:dyDescent="0.25">
      <c r="A3737" s="186"/>
      <c r="B3737" s="179"/>
      <c r="C3737" s="25" t="s">
        <v>2164</v>
      </c>
      <c r="D3737" s="25" t="s">
        <v>588</v>
      </c>
      <c r="E3737" s="26">
        <v>6.3E-3</v>
      </c>
      <c r="F3737" s="27" t="s">
        <v>2171</v>
      </c>
      <c r="G3737" s="46">
        <v>32.518499999999996</v>
      </c>
      <c r="H3737" s="27" t="s">
        <v>2165</v>
      </c>
      <c r="I3737" s="46">
        <f>IF(ISNUMBER(G3737),E3737*G3737,"")</f>
        <v>0.20486654999999998</v>
      </c>
      <c r="J3737" s="69"/>
      <c r="K3737" s="70"/>
      <c r="L3737" s="174">
        <v>0</v>
      </c>
    </row>
    <row r="3738" spans="1:12" ht="25.5" hidden="1" x14ac:dyDescent="0.25">
      <c r="A3738" s="186"/>
      <c r="B3738" s="179"/>
      <c r="C3738" s="25" t="s">
        <v>1712</v>
      </c>
      <c r="D3738" s="25" t="s">
        <v>1366</v>
      </c>
      <c r="E3738" s="26">
        <v>9.6000000000000002E-2</v>
      </c>
      <c r="F3738" s="27" t="s">
        <v>2171</v>
      </c>
      <c r="G3738" s="46">
        <v>14.772500000000001</v>
      </c>
      <c r="H3738" s="27" t="s">
        <v>226</v>
      </c>
      <c r="I3738" s="46">
        <f>IF(ISNUMBER(G3738),E3738*G3738,"")</f>
        <v>1.4181600000000001</v>
      </c>
      <c r="J3738" s="69"/>
      <c r="K3738" s="70"/>
      <c r="L3738" s="174">
        <v>0</v>
      </c>
    </row>
    <row r="3739" spans="1:12" ht="25.5" hidden="1" x14ac:dyDescent="0.25">
      <c r="A3739" s="186"/>
      <c r="B3739" s="179"/>
      <c r="C3739" s="25" t="s">
        <v>1713</v>
      </c>
      <c r="D3739" s="25" t="s">
        <v>1366</v>
      </c>
      <c r="E3739" s="26">
        <v>9.6000000000000002E-2</v>
      </c>
      <c r="F3739" s="27" t="s">
        <v>2171</v>
      </c>
      <c r="G3739" s="46">
        <v>18.743500000000001</v>
      </c>
      <c r="H3739" s="27" t="s">
        <v>71</v>
      </c>
      <c r="I3739" s="46">
        <f>IF(ISNUMBER(G3739),E3739*G3739,"")</f>
        <v>1.7993760000000001</v>
      </c>
      <c r="J3739" s="69"/>
      <c r="K3739" s="70"/>
      <c r="L3739" s="174">
        <v>0</v>
      </c>
    </row>
    <row r="3740" spans="1:12" ht="15.75" hidden="1" thickBot="1" x14ac:dyDescent="0.3">
      <c r="A3740" s="187"/>
      <c r="B3740" s="183"/>
      <c r="C3740" s="47"/>
      <c r="D3740" s="47"/>
      <c r="E3740" s="60"/>
      <c r="F3740" s="61"/>
      <c r="G3740" s="73" t="s">
        <v>1079</v>
      </c>
      <c r="H3740" s="61"/>
      <c r="I3740" s="73" t="str">
        <f>IF(ISNUMBER(G3740),E3740*G3740,"")</f>
        <v/>
      </c>
      <c r="J3740" s="75"/>
      <c r="K3740" s="70"/>
      <c r="L3740" s="174">
        <v>0</v>
      </c>
    </row>
    <row r="3741" spans="1:12" ht="15.75" hidden="1" thickBot="1" x14ac:dyDescent="0.3">
      <c r="A3741" s="180" t="s">
        <v>2174</v>
      </c>
      <c r="B3741" s="178" t="str">
        <f>INDEX(Orçamentária!A:B,MATCH(Composições!A3741,Orçamentária!A:A,0),2)</f>
        <v>Luva bolsa–bolsa para solda em tubulação de cobre diâmetro de 1 3/8"</v>
      </c>
      <c r="C3741" s="30"/>
      <c r="D3741" s="13" t="str">
        <f>TRIM(INDEX(Orçamentária!C:C,MATCH(Composições!A3741,Orçamentária!A:A,0),1))</f>
        <v>un</v>
      </c>
      <c r="E3741" s="14"/>
      <c r="F3741" s="15" t="s">
        <v>2175</v>
      </c>
      <c r="G3741" s="40" t="s">
        <v>1079</v>
      </c>
      <c r="H3741" s="16"/>
      <c r="I3741" s="16" t="str">
        <f>IF(ISNUMBER(G3741),E3741*G3741,"")</f>
        <v/>
      </c>
      <c r="J3741" s="17"/>
      <c r="K3741" s="18"/>
      <c r="L3741" s="174">
        <v>0</v>
      </c>
    </row>
    <row r="3742" spans="1:12" hidden="1" x14ac:dyDescent="0.25">
      <c r="A3742" s="186"/>
      <c r="B3742" s="179"/>
      <c r="C3742" s="20"/>
      <c r="D3742" s="20"/>
      <c r="E3742" s="21"/>
      <c r="F3742" s="22"/>
      <c r="G3742" s="46" t="s">
        <v>1079</v>
      </c>
      <c r="H3742" s="20"/>
      <c r="I3742" s="46" t="str">
        <f>IF(ISNUMBER(G3742),E3742*G3742,"")</f>
        <v/>
      </c>
      <c r="J3742" s="69"/>
      <c r="K3742" s="70"/>
      <c r="L3742" s="174">
        <v>0</v>
      </c>
    </row>
    <row r="3743" spans="1:12" ht="25.5" hidden="1" x14ac:dyDescent="0.25">
      <c r="A3743" s="186"/>
      <c r="B3743" s="179"/>
      <c r="C3743" s="25" t="s">
        <v>2176</v>
      </c>
      <c r="D3743" s="36" t="s">
        <v>588</v>
      </c>
      <c r="E3743" s="26">
        <v>1</v>
      </c>
      <c r="F3743" s="27" t="s">
        <v>2175</v>
      </c>
      <c r="G3743" s="46">
        <v>14.914999999999999</v>
      </c>
      <c r="H3743" s="27" t="s">
        <v>2177</v>
      </c>
      <c r="I3743" s="46">
        <f>IF(ISNUMBER(G3743),E3743*G3743,"")</f>
        <v>14.914999999999999</v>
      </c>
      <c r="J3743" s="28">
        <f>SUM(I3743:I3748)</f>
        <v>19.8317744</v>
      </c>
      <c r="K3743" s="29"/>
      <c r="L3743" s="174">
        <v>0</v>
      </c>
    </row>
    <row r="3744" spans="1:12" ht="25.5" hidden="1" x14ac:dyDescent="0.25">
      <c r="A3744" s="186"/>
      <c r="B3744" s="179"/>
      <c r="C3744" s="25" t="s">
        <v>2161</v>
      </c>
      <c r="D3744" s="36" t="s">
        <v>588</v>
      </c>
      <c r="E3744" s="26">
        <v>8.3999999999999995E-3</v>
      </c>
      <c r="F3744" s="27" t="s">
        <v>2175</v>
      </c>
      <c r="G3744" s="46">
        <v>177.39349999999999</v>
      </c>
      <c r="H3744" s="27" t="s">
        <v>2162</v>
      </c>
      <c r="I3744" s="46">
        <f>IF(ISNUMBER(G3744),E3744*G3744,"")</f>
        <v>1.4901053999999998</v>
      </c>
      <c r="J3744" s="69"/>
      <c r="K3744" s="70"/>
      <c r="L3744" s="174">
        <v>0</v>
      </c>
    </row>
    <row r="3745" spans="1:12" hidden="1" x14ac:dyDescent="0.25">
      <c r="A3745" s="186"/>
      <c r="B3745" s="179"/>
      <c r="C3745" s="25" t="s">
        <v>2163</v>
      </c>
      <c r="D3745" s="25" t="s">
        <v>588</v>
      </c>
      <c r="E3745" s="26">
        <v>5.9400000000000001E-2</v>
      </c>
      <c r="F3745" s="27" t="s">
        <v>2175</v>
      </c>
      <c r="G3745" s="46">
        <v>1.5579999999999998</v>
      </c>
      <c r="H3745" s="27" t="s">
        <v>655</v>
      </c>
      <c r="I3745" s="46">
        <f>IF(ISNUMBER(G3745),E3745*G3745,"")</f>
        <v>9.2545199999999994E-2</v>
      </c>
      <c r="J3745" s="69"/>
      <c r="K3745" s="70"/>
      <c r="L3745" s="174">
        <v>0</v>
      </c>
    </row>
    <row r="3746" spans="1:12" ht="25.5" hidden="1" x14ac:dyDescent="0.25">
      <c r="A3746" s="186"/>
      <c r="B3746" s="179"/>
      <c r="C3746" s="25" t="s">
        <v>2164</v>
      </c>
      <c r="D3746" s="25" t="s">
        <v>588</v>
      </c>
      <c r="E3746" s="26">
        <v>1.0800000000000001E-2</v>
      </c>
      <c r="F3746" s="27" t="s">
        <v>2175</v>
      </c>
      <c r="G3746" s="46">
        <v>32.518499999999996</v>
      </c>
      <c r="H3746" s="27" t="s">
        <v>2165</v>
      </c>
      <c r="I3746" s="46">
        <f>IF(ISNUMBER(G3746),E3746*G3746,"")</f>
        <v>0.35119979999999995</v>
      </c>
      <c r="J3746" s="69"/>
      <c r="K3746" s="70"/>
      <c r="L3746" s="174">
        <v>0</v>
      </c>
    </row>
    <row r="3747" spans="1:12" ht="25.5" hidden="1" x14ac:dyDescent="0.25">
      <c r="A3747" s="186"/>
      <c r="B3747" s="179"/>
      <c r="C3747" s="25" t="s">
        <v>1712</v>
      </c>
      <c r="D3747" s="25" t="s">
        <v>1366</v>
      </c>
      <c r="E3747" s="26">
        <v>8.8999999999999996E-2</v>
      </c>
      <c r="F3747" s="27" t="s">
        <v>2175</v>
      </c>
      <c r="G3747" s="46">
        <v>14.772500000000001</v>
      </c>
      <c r="H3747" s="27" t="s">
        <v>226</v>
      </c>
      <c r="I3747" s="46">
        <f>IF(ISNUMBER(G3747),E3747*G3747,"")</f>
        <v>1.3147525</v>
      </c>
      <c r="J3747" s="69"/>
      <c r="K3747" s="70"/>
      <c r="L3747" s="174">
        <v>0</v>
      </c>
    </row>
    <row r="3748" spans="1:12" ht="25.5" hidden="1" x14ac:dyDescent="0.25">
      <c r="A3748" s="186"/>
      <c r="B3748" s="179"/>
      <c r="C3748" s="25" t="s">
        <v>1713</v>
      </c>
      <c r="D3748" s="25" t="s">
        <v>1366</v>
      </c>
      <c r="E3748" s="26">
        <v>8.8999999999999996E-2</v>
      </c>
      <c r="F3748" s="27" t="s">
        <v>2175</v>
      </c>
      <c r="G3748" s="46">
        <v>18.743500000000001</v>
      </c>
      <c r="H3748" s="27" t="s">
        <v>71</v>
      </c>
      <c r="I3748" s="46">
        <f>IF(ISNUMBER(G3748),E3748*G3748,"")</f>
        <v>1.6681714999999999</v>
      </c>
      <c r="J3748" s="69"/>
      <c r="K3748" s="70"/>
      <c r="L3748" s="174">
        <v>0</v>
      </c>
    </row>
    <row r="3749" spans="1:12" ht="15.75" hidden="1" thickBot="1" x14ac:dyDescent="0.3">
      <c r="A3749" s="187"/>
      <c r="B3749" s="183"/>
      <c r="C3749" s="47"/>
      <c r="D3749" s="47"/>
      <c r="E3749" s="60"/>
      <c r="F3749" s="61"/>
      <c r="G3749" s="73" t="s">
        <v>1079</v>
      </c>
      <c r="H3749" s="61"/>
      <c r="I3749" s="73" t="str">
        <f>IF(ISNUMBER(G3749),E3749*G3749,"")</f>
        <v/>
      </c>
      <c r="J3749" s="75"/>
      <c r="K3749" s="70"/>
      <c r="L3749" s="174">
        <v>0</v>
      </c>
    </row>
    <row r="3750" spans="1:12" ht="15.75" hidden="1" thickBot="1" x14ac:dyDescent="0.3">
      <c r="A3750" s="180" t="s">
        <v>2178</v>
      </c>
      <c r="B3750" s="178" t="str">
        <f>INDEX(Orçamentária!A:B,MATCH(Composições!A3750,Orçamentária!A:A,0),2)</f>
        <v>Luva bolsa–bolsa para solda em tubulação de cobre diâmetro de 1 5/8"</v>
      </c>
      <c r="C3750" s="30"/>
      <c r="D3750" s="13" t="str">
        <f>TRIM(INDEX(Orçamentária!C:C,MATCH(Composições!A3750,Orçamentária!A:A,0),1))</f>
        <v>un</v>
      </c>
      <c r="E3750" s="14"/>
      <c r="F3750" s="15" t="s">
        <v>2179</v>
      </c>
      <c r="G3750" s="40" t="s">
        <v>1079</v>
      </c>
      <c r="H3750" s="16"/>
      <c r="I3750" s="16" t="str">
        <f>IF(ISNUMBER(G3750),E3750*G3750,"")</f>
        <v/>
      </c>
      <c r="J3750" s="17"/>
      <c r="K3750" s="18"/>
      <c r="L3750" s="174">
        <v>0</v>
      </c>
    </row>
    <row r="3751" spans="1:12" hidden="1" x14ac:dyDescent="0.25">
      <c r="A3751" s="186"/>
      <c r="B3751" s="179"/>
      <c r="C3751" s="20"/>
      <c r="D3751" s="20"/>
      <c r="E3751" s="21"/>
      <c r="F3751" s="22"/>
      <c r="G3751" s="46" t="s">
        <v>1079</v>
      </c>
      <c r="H3751" s="20"/>
      <c r="I3751" s="46" t="str">
        <f>IF(ISNUMBER(G3751),E3751*G3751,"")</f>
        <v/>
      </c>
      <c r="J3751" s="69"/>
      <c r="K3751" s="70"/>
      <c r="L3751" s="174">
        <v>0</v>
      </c>
    </row>
    <row r="3752" spans="1:12" ht="25.5" hidden="1" x14ac:dyDescent="0.25">
      <c r="A3752" s="186"/>
      <c r="B3752" s="179"/>
      <c r="C3752" s="25" t="s">
        <v>2180</v>
      </c>
      <c r="D3752" s="36" t="s">
        <v>588</v>
      </c>
      <c r="E3752" s="26">
        <v>1</v>
      </c>
      <c r="F3752" s="27" t="s">
        <v>2179</v>
      </c>
      <c r="G3752" s="46">
        <v>18.9145</v>
      </c>
      <c r="H3752" s="27" t="s">
        <v>2181</v>
      </c>
      <c r="I3752" s="46">
        <f>IF(ISNUMBER(G3752),E3752*G3752,"")</f>
        <v>18.9145</v>
      </c>
      <c r="J3752" s="28">
        <f>SUM(I3752:I3757)</f>
        <v>26.341416650000003</v>
      </c>
      <c r="K3752" s="29"/>
      <c r="L3752" s="174">
        <v>0</v>
      </c>
    </row>
    <row r="3753" spans="1:12" ht="25.5" hidden="1" x14ac:dyDescent="0.25">
      <c r="A3753" s="186"/>
      <c r="B3753" s="179"/>
      <c r="C3753" s="25" t="s">
        <v>2161</v>
      </c>
      <c r="D3753" s="36" t="s">
        <v>588</v>
      </c>
      <c r="E3753" s="26">
        <v>1.7600000000000001E-2</v>
      </c>
      <c r="F3753" s="27" t="s">
        <v>2179</v>
      </c>
      <c r="G3753" s="46">
        <v>177.39349999999999</v>
      </c>
      <c r="H3753" s="27" t="s">
        <v>2162</v>
      </c>
      <c r="I3753" s="46">
        <f>IF(ISNUMBER(G3753),E3753*G3753,"")</f>
        <v>3.1221255999999999</v>
      </c>
      <c r="J3753" s="69"/>
      <c r="K3753" s="70"/>
      <c r="L3753" s="174">
        <v>0</v>
      </c>
    </row>
    <row r="3754" spans="1:12" hidden="1" x14ac:dyDescent="0.25">
      <c r="A3754" s="186"/>
      <c r="B3754" s="179"/>
      <c r="C3754" s="25" t="s">
        <v>2163</v>
      </c>
      <c r="D3754" s="25" t="s">
        <v>588</v>
      </c>
      <c r="E3754" s="26">
        <v>6.93E-2</v>
      </c>
      <c r="F3754" s="27" t="s">
        <v>2179</v>
      </c>
      <c r="G3754" s="46">
        <v>1.5579999999999998</v>
      </c>
      <c r="H3754" s="27" t="s">
        <v>655</v>
      </c>
      <c r="I3754" s="46">
        <f>IF(ISNUMBER(G3754),E3754*G3754,"")</f>
        <v>0.10796939999999999</v>
      </c>
      <c r="J3754" s="69"/>
      <c r="K3754" s="70"/>
      <c r="L3754" s="174">
        <v>0</v>
      </c>
    </row>
    <row r="3755" spans="1:12" ht="25.5" hidden="1" x14ac:dyDescent="0.25">
      <c r="A3755" s="186"/>
      <c r="B3755" s="179"/>
      <c r="C3755" s="25" t="s">
        <v>2164</v>
      </c>
      <c r="D3755" s="25" t="s">
        <v>588</v>
      </c>
      <c r="E3755" s="26">
        <v>2.29E-2</v>
      </c>
      <c r="F3755" s="27" t="s">
        <v>2179</v>
      </c>
      <c r="G3755" s="46">
        <v>32.518499999999996</v>
      </c>
      <c r="H3755" s="27" t="s">
        <v>2165</v>
      </c>
      <c r="I3755" s="46">
        <f>IF(ISNUMBER(G3755),E3755*G3755,"")</f>
        <v>0.74467364999999996</v>
      </c>
      <c r="J3755" s="69"/>
      <c r="K3755" s="70"/>
      <c r="L3755" s="174">
        <v>0</v>
      </c>
    </row>
    <row r="3756" spans="1:12" ht="25.5" hidden="1" x14ac:dyDescent="0.25">
      <c r="A3756" s="186"/>
      <c r="B3756" s="179"/>
      <c r="C3756" s="25" t="s">
        <v>1712</v>
      </c>
      <c r="D3756" s="25" t="s">
        <v>1366</v>
      </c>
      <c r="E3756" s="26">
        <v>0.10299999999999999</v>
      </c>
      <c r="F3756" s="27" t="s">
        <v>2179</v>
      </c>
      <c r="G3756" s="46">
        <v>14.772500000000001</v>
      </c>
      <c r="H3756" s="27" t="s">
        <v>226</v>
      </c>
      <c r="I3756" s="46">
        <f>IF(ISNUMBER(G3756),E3756*G3756,"")</f>
        <v>1.5215675</v>
      </c>
      <c r="J3756" s="69"/>
      <c r="K3756" s="70"/>
      <c r="L3756" s="174">
        <v>0</v>
      </c>
    </row>
    <row r="3757" spans="1:12" ht="25.5" hidden="1" x14ac:dyDescent="0.25">
      <c r="A3757" s="186"/>
      <c r="B3757" s="179"/>
      <c r="C3757" s="25" t="s">
        <v>1713</v>
      </c>
      <c r="D3757" s="25" t="s">
        <v>1366</v>
      </c>
      <c r="E3757" s="26">
        <v>0.10299999999999999</v>
      </c>
      <c r="F3757" s="27" t="s">
        <v>2179</v>
      </c>
      <c r="G3757" s="46">
        <v>18.743500000000001</v>
      </c>
      <c r="H3757" s="27" t="s">
        <v>71</v>
      </c>
      <c r="I3757" s="46">
        <f>IF(ISNUMBER(G3757),E3757*G3757,"")</f>
        <v>1.9305805</v>
      </c>
      <c r="J3757" s="69"/>
      <c r="K3757" s="70"/>
      <c r="L3757" s="174">
        <v>0</v>
      </c>
    </row>
    <row r="3758" spans="1:12" ht="15.75" hidden="1" thickBot="1" x14ac:dyDescent="0.3">
      <c r="A3758" s="187"/>
      <c r="B3758" s="183"/>
      <c r="C3758" s="47"/>
      <c r="D3758" s="47"/>
      <c r="E3758" s="60"/>
      <c r="F3758" s="61"/>
      <c r="G3758" s="73" t="s">
        <v>1079</v>
      </c>
      <c r="H3758" s="61"/>
      <c r="I3758" s="73" t="str">
        <f>IF(ISNUMBER(G3758),E3758*G3758,"")</f>
        <v/>
      </c>
      <c r="J3758" s="75"/>
      <c r="K3758" s="70"/>
      <c r="L3758" s="174">
        <v>0</v>
      </c>
    </row>
    <row r="3759" spans="1:12" ht="15.75" hidden="1" thickBot="1" x14ac:dyDescent="0.3">
      <c r="A3759" s="180" t="s">
        <v>2182</v>
      </c>
      <c r="B3759" s="178" t="str">
        <f>INDEX(Orçamentária!A:B,MATCH(Composições!A3759,Orçamentária!A:A,0),2)</f>
        <v>Luva bolsa–bolsa para solda em tubulação de cobre diâmetro de 7/8"</v>
      </c>
      <c r="C3759" s="30"/>
      <c r="D3759" s="13" t="str">
        <f>TRIM(INDEX(Orçamentária!C:C,MATCH(Composições!A3759,Orçamentária!A:A,0),1))</f>
        <v>un</v>
      </c>
      <c r="E3759" s="14"/>
      <c r="F3759" s="15" t="s">
        <v>2183</v>
      </c>
      <c r="G3759" s="40" t="s">
        <v>1079</v>
      </c>
      <c r="H3759" s="16"/>
      <c r="I3759" s="16" t="str">
        <f>IF(ISNUMBER(G3759),E3759*G3759,"")</f>
        <v/>
      </c>
      <c r="J3759" s="17"/>
      <c r="K3759" s="18"/>
      <c r="L3759" s="174">
        <v>0</v>
      </c>
    </row>
    <row r="3760" spans="1:12" hidden="1" x14ac:dyDescent="0.25">
      <c r="A3760" s="186"/>
      <c r="B3760" s="179"/>
      <c r="C3760" s="20"/>
      <c r="D3760" s="20"/>
      <c r="E3760" s="21"/>
      <c r="F3760" s="22"/>
      <c r="G3760" s="46" t="s">
        <v>1079</v>
      </c>
      <c r="H3760" s="20"/>
      <c r="I3760" s="46" t="str">
        <f>IF(ISNUMBER(G3760),E3760*G3760,"")</f>
        <v/>
      </c>
      <c r="J3760" s="69"/>
      <c r="K3760" s="70"/>
      <c r="L3760" s="174">
        <v>0</v>
      </c>
    </row>
    <row r="3761" spans="1:12" ht="25.5" hidden="1" x14ac:dyDescent="0.25">
      <c r="A3761" s="186"/>
      <c r="B3761" s="179"/>
      <c r="C3761" s="25" t="s">
        <v>2184</v>
      </c>
      <c r="D3761" s="36" t="s">
        <v>588</v>
      </c>
      <c r="E3761" s="26">
        <v>1</v>
      </c>
      <c r="F3761" s="27" t="s">
        <v>2183</v>
      </c>
      <c r="G3761" s="46">
        <v>3.363</v>
      </c>
      <c r="H3761" s="27" t="s">
        <v>2185</v>
      </c>
      <c r="I3761" s="46">
        <f>IF(ISNUMBER(G3761),E3761*G3761,"")</f>
        <v>3.363</v>
      </c>
      <c r="J3761" s="28">
        <f>SUM(I3761:I3766)</f>
        <v>6.6316849500000004</v>
      </c>
      <c r="K3761" s="29"/>
      <c r="L3761" s="174">
        <v>0</v>
      </c>
    </row>
    <row r="3762" spans="1:12" ht="25.5" hidden="1" x14ac:dyDescent="0.25">
      <c r="A3762" s="186"/>
      <c r="B3762" s="179"/>
      <c r="C3762" s="25" t="s">
        <v>2161</v>
      </c>
      <c r="D3762" s="36" t="s">
        <v>588</v>
      </c>
      <c r="E3762" s="26">
        <v>4.7999999999999996E-3</v>
      </c>
      <c r="F3762" s="27" t="s">
        <v>2183</v>
      </c>
      <c r="G3762" s="46">
        <v>177.39349999999999</v>
      </c>
      <c r="H3762" s="27" t="s">
        <v>2162</v>
      </c>
      <c r="I3762" s="46">
        <f>IF(ISNUMBER(G3762),E3762*G3762,"")</f>
        <v>0.85148879999999982</v>
      </c>
      <c r="J3762" s="69"/>
      <c r="K3762" s="70"/>
      <c r="L3762" s="174">
        <v>0</v>
      </c>
    </row>
    <row r="3763" spans="1:12" hidden="1" x14ac:dyDescent="0.25">
      <c r="A3763" s="186"/>
      <c r="B3763" s="179"/>
      <c r="C3763" s="25" t="s">
        <v>2163</v>
      </c>
      <c r="D3763" s="25" t="s">
        <v>588</v>
      </c>
      <c r="E3763" s="26">
        <v>4.3200000000000002E-2</v>
      </c>
      <c r="F3763" s="27" t="s">
        <v>2183</v>
      </c>
      <c r="G3763" s="46">
        <v>1.5579999999999998</v>
      </c>
      <c r="H3763" s="27" t="s">
        <v>655</v>
      </c>
      <c r="I3763" s="46">
        <f>IF(ISNUMBER(G3763),E3763*G3763,"")</f>
        <v>6.7305599999999993E-2</v>
      </c>
      <c r="J3763" s="69"/>
      <c r="K3763" s="70"/>
      <c r="L3763" s="174">
        <v>0</v>
      </c>
    </row>
    <row r="3764" spans="1:12" ht="25.5" hidden="1" x14ac:dyDescent="0.25">
      <c r="A3764" s="186"/>
      <c r="B3764" s="179"/>
      <c r="C3764" s="25" t="s">
        <v>2164</v>
      </c>
      <c r="D3764" s="25" t="s">
        <v>588</v>
      </c>
      <c r="E3764" s="26">
        <v>6.3E-3</v>
      </c>
      <c r="F3764" s="27" t="s">
        <v>2183</v>
      </c>
      <c r="G3764" s="46">
        <v>32.518499999999996</v>
      </c>
      <c r="H3764" s="27" t="s">
        <v>2165</v>
      </c>
      <c r="I3764" s="46">
        <f>IF(ISNUMBER(G3764),E3764*G3764,"")</f>
        <v>0.20486654999999998</v>
      </c>
      <c r="J3764" s="69"/>
      <c r="K3764" s="70"/>
      <c r="L3764" s="174">
        <v>0</v>
      </c>
    </row>
    <row r="3765" spans="1:12" ht="25.5" hidden="1" x14ac:dyDescent="0.25">
      <c r="A3765" s="186"/>
      <c r="B3765" s="179"/>
      <c r="C3765" s="25" t="s">
        <v>1712</v>
      </c>
      <c r="D3765" s="25" t="s">
        <v>1366</v>
      </c>
      <c r="E3765" s="26">
        <v>6.4000000000000001E-2</v>
      </c>
      <c r="F3765" s="27" t="s">
        <v>2183</v>
      </c>
      <c r="G3765" s="46">
        <v>14.772500000000001</v>
      </c>
      <c r="H3765" s="27" t="s">
        <v>226</v>
      </c>
      <c r="I3765" s="46">
        <f>IF(ISNUMBER(G3765),E3765*G3765,"")</f>
        <v>0.94544000000000006</v>
      </c>
      <c r="J3765" s="69"/>
      <c r="K3765" s="70"/>
      <c r="L3765" s="174">
        <v>0</v>
      </c>
    </row>
    <row r="3766" spans="1:12" ht="25.5" hidden="1" x14ac:dyDescent="0.25">
      <c r="A3766" s="186"/>
      <c r="B3766" s="179"/>
      <c r="C3766" s="25" t="s">
        <v>1713</v>
      </c>
      <c r="D3766" s="25" t="s">
        <v>1366</v>
      </c>
      <c r="E3766" s="26">
        <v>6.4000000000000001E-2</v>
      </c>
      <c r="F3766" s="27" t="s">
        <v>2183</v>
      </c>
      <c r="G3766" s="46">
        <v>18.743500000000001</v>
      </c>
      <c r="H3766" s="27" t="s">
        <v>71</v>
      </c>
      <c r="I3766" s="46">
        <f>IF(ISNUMBER(G3766),E3766*G3766,"")</f>
        <v>1.199584</v>
      </c>
      <c r="J3766" s="69"/>
      <c r="K3766" s="70"/>
      <c r="L3766" s="174">
        <v>0</v>
      </c>
    </row>
    <row r="3767" spans="1:12" ht="15.75" hidden="1" thickBot="1" x14ac:dyDescent="0.3">
      <c r="A3767" s="187"/>
      <c r="B3767" s="183"/>
      <c r="C3767" s="47"/>
      <c r="D3767" s="47"/>
      <c r="E3767" s="60"/>
      <c r="F3767" s="61"/>
      <c r="G3767" s="73" t="s">
        <v>1079</v>
      </c>
      <c r="H3767" s="61"/>
      <c r="I3767" s="73" t="str">
        <f>IF(ISNUMBER(G3767),E3767*G3767,"")</f>
        <v/>
      </c>
      <c r="J3767" s="75"/>
      <c r="K3767" s="70"/>
      <c r="L3767" s="174">
        <v>0</v>
      </c>
    </row>
    <row r="3768" spans="1:12" ht="15.75" hidden="1" thickBot="1" x14ac:dyDescent="0.3">
      <c r="A3768" s="180" t="s">
        <v>2186</v>
      </c>
      <c r="B3768" s="178" t="str">
        <f>INDEX(Orçamentária!A:B,MATCH(Composições!A3768,Orçamentária!A:A,0),2)</f>
        <v>Tubo de cobre rígido 1 3/8"</v>
      </c>
      <c r="C3768" s="30"/>
      <c r="D3768" s="13" t="str">
        <f>TRIM(INDEX(Orçamentária!C:C,MATCH(Composições!A3768,Orçamentária!A:A,0),1))</f>
        <v>m</v>
      </c>
      <c r="E3768" s="14"/>
      <c r="F3768" s="71" t="s">
        <v>2187</v>
      </c>
      <c r="G3768" s="40" t="s">
        <v>1079</v>
      </c>
      <c r="H3768" s="16"/>
      <c r="I3768" s="16" t="str">
        <f>IF(ISNUMBER(G3768),E3768*G3768,"")</f>
        <v/>
      </c>
      <c r="J3768" s="17"/>
      <c r="K3768" s="18"/>
      <c r="L3768" s="174">
        <v>0</v>
      </c>
    </row>
    <row r="3769" spans="1:12" hidden="1" x14ac:dyDescent="0.25">
      <c r="A3769" s="186"/>
      <c r="B3769" s="179"/>
      <c r="C3769" s="20"/>
      <c r="D3769" s="20"/>
      <c r="E3769" s="21"/>
      <c r="F3769" s="22"/>
      <c r="G3769" s="46" t="s">
        <v>1079</v>
      </c>
      <c r="H3769" s="20"/>
      <c r="I3769" s="46" t="str">
        <f>IF(ISNUMBER(G3769),E3769*G3769,"")</f>
        <v/>
      </c>
      <c r="J3769" s="69"/>
      <c r="K3769" s="70"/>
      <c r="L3769" s="174">
        <v>0</v>
      </c>
    </row>
    <row r="3770" spans="1:12" ht="38.25" hidden="1" x14ac:dyDescent="0.25">
      <c r="A3770" s="186"/>
      <c r="B3770" s="179"/>
      <c r="C3770" s="25" t="s">
        <v>2188</v>
      </c>
      <c r="D3770" s="25" t="s">
        <v>988</v>
      </c>
      <c r="E3770" s="26">
        <v>1.0210999999999999</v>
      </c>
      <c r="F3770" s="26" t="s">
        <v>2187</v>
      </c>
      <c r="G3770" s="46">
        <v>90.307000000000002</v>
      </c>
      <c r="H3770" s="26" t="s">
        <v>2189</v>
      </c>
      <c r="I3770" s="46">
        <f>IF(ISNUMBER(G3770),E3770*G3770,"")</f>
        <v>92.212477699999994</v>
      </c>
      <c r="J3770" s="28">
        <f>SUM(I3770:I3772)</f>
        <v>94.424533699999998</v>
      </c>
      <c r="K3770" s="29"/>
      <c r="L3770" s="174">
        <v>0</v>
      </c>
    </row>
    <row r="3771" spans="1:12" ht="25.5" hidden="1" x14ac:dyDescent="0.25">
      <c r="A3771" s="186"/>
      <c r="B3771" s="179"/>
      <c r="C3771" s="25" t="s">
        <v>1712</v>
      </c>
      <c r="D3771" s="25" t="s">
        <v>1366</v>
      </c>
      <c r="E3771" s="26">
        <v>6.6000000000000003E-2</v>
      </c>
      <c r="F3771" s="26" t="s">
        <v>2187</v>
      </c>
      <c r="G3771" s="46">
        <v>14.772500000000001</v>
      </c>
      <c r="H3771" s="27" t="s">
        <v>226</v>
      </c>
      <c r="I3771" s="46">
        <f>IF(ISNUMBER(G3771),E3771*G3771,"")</f>
        <v>0.9749850000000001</v>
      </c>
      <c r="J3771" s="69"/>
      <c r="K3771" s="70"/>
      <c r="L3771" s="174">
        <v>0</v>
      </c>
    </row>
    <row r="3772" spans="1:12" ht="25.5" hidden="1" x14ac:dyDescent="0.25">
      <c r="A3772" s="186"/>
      <c r="B3772" s="179"/>
      <c r="C3772" s="25" t="s">
        <v>1713</v>
      </c>
      <c r="D3772" s="25" t="s">
        <v>1366</v>
      </c>
      <c r="E3772" s="26">
        <v>6.6000000000000003E-2</v>
      </c>
      <c r="F3772" s="26" t="s">
        <v>2187</v>
      </c>
      <c r="G3772" s="46">
        <v>18.743500000000001</v>
      </c>
      <c r="H3772" s="27" t="s">
        <v>71</v>
      </c>
      <c r="I3772" s="46">
        <f>IF(ISNUMBER(G3772),E3772*G3772,"")</f>
        <v>1.237071</v>
      </c>
      <c r="J3772" s="69"/>
      <c r="K3772" s="70"/>
      <c r="L3772" s="174">
        <v>0</v>
      </c>
    </row>
    <row r="3773" spans="1:12" ht="15.75" hidden="1" thickBot="1" x14ac:dyDescent="0.3">
      <c r="A3773" s="186"/>
      <c r="B3773" s="179"/>
      <c r="C3773" s="47"/>
      <c r="D3773" s="47"/>
      <c r="E3773" s="60"/>
      <c r="F3773" s="61"/>
      <c r="G3773" s="73" t="s">
        <v>1079</v>
      </c>
      <c r="H3773" s="61"/>
      <c r="I3773" s="73" t="str">
        <f>IF(ISNUMBER(G3773),E3773*G3773,"")</f>
        <v/>
      </c>
      <c r="J3773" s="75"/>
      <c r="K3773" s="70"/>
      <c r="L3773" s="174">
        <v>0</v>
      </c>
    </row>
    <row r="3774" spans="1:12" ht="15.75" hidden="1" thickBot="1" x14ac:dyDescent="0.3">
      <c r="A3774" s="180" t="s">
        <v>2190</v>
      </c>
      <c r="B3774" s="178" t="str">
        <f>INDEX(Orçamentária!A:B,MATCH(Composições!A3774,Orçamentária!A:A,0),2)</f>
        <v>Tubo de cobre rígido 1 5/8"</v>
      </c>
      <c r="C3774" s="30"/>
      <c r="D3774" s="13" t="str">
        <f>TRIM(INDEX(Orçamentária!C:C,MATCH(Composições!A3774,Orçamentária!A:A,0),1))</f>
        <v>m</v>
      </c>
      <c r="E3774" s="14"/>
      <c r="F3774" s="71" t="s">
        <v>2191</v>
      </c>
      <c r="G3774" s="40" t="s">
        <v>1079</v>
      </c>
      <c r="H3774" s="16"/>
      <c r="I3774" s="16" t="str">
        <f>IF(ISNUMBER(G3774),E3774*G3774,"")</f>
        <v/>
      </c>
      <c r="J3774" s="17"/>
      <c r="K3774" s="18"/>
      <c r="L3774" s="174">
        <v>0</v>
      </c>
    </row>
    <row r="3775" spans="1:12" hidden="1" x14ac:dyDescent="0.25">
      <c r="A3775" s="186"/>
      <c r="B3775" s="179"/>
      <c r="C3775" s="20"/>
      <c r="D3775" s="20"/>
      <c r="E3775" s="21"/>
      <c r="F3775" s="22"/>
      <c r="G3775" s="46" t="s">
        <v>1079</v>
      </c>
      <c r="H3775" s="20"/>
      <c r="I3775" s="46" t="str">
        <f>IF(ISNUMBER(G3775),E3775*G3775,"")</f>
        <v/>
      </c>
      <c r="J3775" s="69"/>
      <c r="K3775" s="70"/>
      <c r="L3775" s="174">
        <v>0</v>
      </c>
    </row>
    <row r="3776" spans="1:12" ht="38.25" hidden="1" x14ac:dyDescent="0.25">
      <c r="A3776" s="186"/>
      <c r="B3776" s="179"/>
      <c r="C3776" s="25" t="s">
        <v>2192</v>
      </c>
      <c r="D3776" s="25" t="s">
        <v>988</v>
      </c>
      <c r="E3776" s="26">
        <v>1.0210999999999999</v>
      </c>
      <c r="F3776" s="26" t="s">
        <v>2191</v>
      </c>
      <c r="G3776" s="46">
        <v>108.6515</v>
      </c>
      <c r="H3776" s="26" t="s">
        <v>2193</v>
      </c>
      <c r="I3776" s="46">
        <f>IF(ISNUMBER(G3776),E3776*G3776,"")</f>
        <v>110.94404664999999</v>
      </c>
      <c r="J3776" s="28">
        <f>SUM(I3776:I3778)</f>
        <v>113.49126264999998</v>
      </c>
      <c r="K3776" s="29"/>
      <c r="L3776" s="174">
        <v>0</v>
      </c>
    </row>
    <row r="3777" spans="1:12" ht="25.5" hidden="1" x14ac:dyDescent="0.25">
      <c r="A3777" s="186"/>
      <c r="B3777" s="179"/>
      <c r="C3777" s="25" t="s">
        <v>1712</v>
      </c>
      <c r="D3777" s="25" t="s">
        <v>1366</v>
      </c>
      <c r="E3777" s="26">
        <v>7.5999999999999998E-2</v>
      </c>
      <c r="F3777" s="26" t="s">
        <v>2191</v>
      </c>
      <c r="G3777" s="46">
        <v>14.772500000000001</v>
      </c>
      <c r="H3777" s="27" t="s">
        <v>226</v>
      </c>
      <c r="I3777" s="46">
        <f>IF(ISNUMBER(G3777),E3777*G3777,"")</f>
        <v>1.1227100000000001</v>
      </c>
      <c r="J3777" s="69"/>
      <c r="K3777" s="70"/>
      <c r="L3777" s="174">
        <v>0</v>
      </c>
    </row>
    <row r="3778" spans="1:12" ht="25.5" hidden="1" x14ac:dyDescent="0.25">
      <c r="A3778" s="186"/>
      <c r="B3778" s="179"/>
      <c r="C3778" s="25" t="s">
        <v>1713</v>
      </c>
      <c r="D3778" s="25" t="s">
        <v>1366</v>
      </c>
      <c r="E3778" s="26">
        <v>7.5999999999999998E-2</v>
      </c>
      <c r="F3778" s="26" t="s">
        <v>2191</v>
      </c>
      <c r="G3778" s="46">
        <v>18.743500000000001</v>
      </c>
      <c r="H3778" s="27" t="s">
        <v>71</v>
      </c>
      <c r="I3778" s="46">
        <f>IF(ISNUMBER(G3778),E3778*G3778,"")</f>
        <v>1.424506</v>
      </c>
      <c r="J3778" s="69"/>
      <c r="K3778" s="70"/>
      <c r="L3778" s="174">
        <v>0</v>
      </c>
    </row>
    <row r="3779" spans="1:12" ht="15.75" hidden="1" thickBot="1" x14ac:dyDescent="0.3">
      <c r="A3779" s="186"/>
      <c r="B3779" s="179"/>
      <c r="C3779" s="47"/>
      <c r="D3779" s="47"/>
      <c r="E3779" s="60"/>
      <c r="F3779" s="61"/>
      <c r="G3779" s="73" t="s">
        <v>1079</v>
      </c>
      <c r="H3779" s="61"/>
      <c r="I3779" s="73" t="str">
        <f>IF(ISNUMBER(G3779),E3779*G3779,"")</f>
        <v/>
      </c>
      <c r="J3779" s="75"/>
      <c r="K3779" s="70"/>
      <c r="L3779" s="174">
        <v>0</v>
      </c>
    </row>
    <row r="3780" spans="1:12" ht="15.75" hidden="1" thickBot="1" x14ac:dyDescent="0.3">
      <c r="A3780" s="180" t="s">
        <v>2194</v>
      </c>
      <c r="B3780" s="178" t="str">
        <f>INDEX(Orçamentária!A:B,MATCH(Composições!A3780,Orçamentária!A:A,0),2)</f>
        <v>Eletroduto flexível metálico com capa de PVC 1 1/2"</v>
      </c>
      <c r="C3780" s="30"/>
      <c r="D3780" s="13" t="str">
        <f>TRIM(INDEX(Orçamentária!C:C,MATCH(Composições!A3780,Orçamentária!A:A,0),1))</f>
        <v>m</v>
      </c>
      <c r="E3780" s="14"/>
      <c r="F3780" s="15" t="s">
        <v>2195</v>
      </c>
      <c r="G3780" s="40" t="s">
        <v>1079</v>
      </c>
      <c r="H3780" s="16"/>
      <c r="I3780" s="16" t="str">
        <f>IF(ISNUMBER(G3780),E3780*G3780,"")</f>
        <v/>
      </c>
      <c r="J3780" s="17"/>
      <c r="K3780" s="18"/>
      <c r="L3780" s="174">
        <v>0</v>
      </c>
    </row>
    <row r="3781" spans="1:12" hidden="1" x14ac:dyDescent="0.25">
      <c r="A3781" s="186"/>
      <c r="B3781" s="179"/>
      <c r="C3781" s="20"/>
      <c r="D3781" s="20"/>
      <c r="E3781" s="21"/>
      <c r="F3781" s="22"/>
      <c r="G3781" s="46" t="s">
        <v>1079</v>
      </c>
      <c r="H3781" s="20"/>
      <c r="I3781" s="46" t="str">
        <f>IF(ISNUMBER(G3781),E3781*G3781,"")</f>
        <v/>
      </c>
      <c r="J3781" s="69"/>
      <c r="K3781" s="70"/>
      <c r="L3781" s="174">
        <v>0</v>
      </c>
    </row>
    <row r="3782" spans="1:12" ht="38.25" hidden="1" x14ac:dyDescent="0.25">
      <c r="A3782" s="186"/>
      <c r="B3782" s="179"/>
      <c r="C3782" s="25" t="s">
        <v>2196</v>
      </c>
      <c r="D3782" s="36" t="s">
        <v>988</v>
      </c>
      <c r="E3782" s="26">
        <v>1.1000000000000001</v>
      </c>
      <c r="F3782" s="27" t="s">
        <v>2197</v>
      </c>
      <c r="G3782" s="46">
        <v>24.832999999999998</v>
      </c>
      <c r="H3782" s="27" t="s">
        <v>2198</v>
      </c>
      <c r="I3782" s="46">
        <f>IF(ISNUMBER(G3782),E3782*G3782,"")</f>
        <v>27.316300000000002</v>
      </c>
      <c r="J3782" s="28">
        <f>SUM(I3782:I3785)</f>
        <v>31.8686373</v>
      </c>
      <c r="K3782" s="29"/>
      <c r="L3782" s="174">
        <v>0</v>
      </c>
    </row>
    <row r="3783" spans="1:12" ht="25.5" hidden="1" x14ac:dyDescent="0.25">
      <c r="A3783" s="186"/>
      <c r="B3783" s="179"/>
      <c r="C3783" s="25" t="s">
        <v>1016</v>
      </c>
      <c r="D3783" s="36" t="s">
        <v>1629</v>
      </c>
      <c r="E3783" s="26">
        <v>2.3E-3</v>
      </c>
      <c r="F3783" s="27" t="s">
        <v>2197</v>
      </c>
      <c r="G3783" s="46">
        <v>12.426</v>
      </c>
      <c r="H3783" s="27" t="s">
        <v>1017</v>
      </c>
      <c r="I3783" s="46">
        <f>IF(ISNUMBER(G3783),E3783*G3783,"")</f>
        <v>2.8579799999999999E-2</v>
      </c>
      <c r="J3783" s="69"/>
      <c r="K3783" s="70"/>
      <c r="L3783" s="174">
        <v>0</v>
      </c>
    </row>
    <row r="3784" spans="1:12" hidden="1" x14ac:dyDescent="0.25">
      <c r="A3784" s="186"/>
      <c r="B3784" s="179"/>
      <c r="C3784" s="25" t="s">
        <v>2106</v>
      </c>
      <c r="D3784" s="25" t="s">
        <v>1366</v>
      </c>
      <c r="E3784" s="26">
        <v>0.13100000000000001</v>
      </c>
      <c r="F3784" s="27" t="s">
        <v>2197</v>
      </c>
      <c r="G3784" s="46">
        <v>15.218999999999999</v>
      </c>
      <c r="H3784" s="27" t="s">
        <v>145</v>
      </c>
      <c r="I3784" s="46">
        <f>IF(ISNUMBER(G3784),E3784*G3784,"")</f>
        <v>1.993689</v>
      </c>
      <c r="J3784" s="69"/>
      <c r="K3784" s="70"/>
      <c r="L3784" s="174">
        <v>0</v>
      </c>
    </row>
    <row r="3785" spans="1:12" hidden="1" x14ac:dyDescent="0.25">
      <c r="A3785" s="186"/>
      <c r="B3785" s="179"/>
      <c r="C3785" s="25" t="s">
        <v>2107</v>
      </c>
      <c r="D3785" s="25" t="s">
        <v>1366</v>
      </c>
      <c r="E3785" s="26">
        <v>0.13100000000000001</v>
      </c>
      <c r="F3785" s="27" t="s">
        <v>2197</v>
      </c>
      <c r="G3785" s="46">
        <v>19.313499999999998</v>
      </c>
      <c r="H3785" s="27" t="s">
        <v>55</v>
      </c>
      <c r="I3785" s="46">
        <f>IF(ISNUMBER(G3785),E3785*G3785,"")</f>
        <v>2.5300684999999996</v>
      </c>
      <c r="J3785" s="69"/>
      <c r="K3785" s="70"/>
      <c r="L3785" s="174">
        <v>0</v>
      </c>
    </row>
    <row r="3786" spans="1:12" ht="15.75" hidden="1" thickBot="1" x14ac:dyDescent="0.3">
      <c r="A3786" s="186"/>
      <c r="B3786" s="179"/>
      <c r="C3786" s="47"/>
      <c r="D3786" s="47"/>
      <c r="E3786" s="60"/>
      <c r="F3786" s="61"/>
      <c r="G3786" s="73" t="s">
        <v>1079</v>
      </c>
      <c r="H3786" s="61"/>
      <c r="I3786" s="73" t="str">
        <f>IF(ISNUMBER(G3786),E3786*G3786,"")</f>
        <v/>
      </c>
      <c r="J3786" s="75"/>
      <c r="K3786" s="70"/>
      <c r="L3786" s="174">
        <v>0</v>
      </c>
    </row>
    <row r="3787" spans="1:12" ht="15.75" hidden="1" thickBot="1" x14ac:dyDescent="0.3">
      <c r="A3787" s="180" t="s">
        <v>2199</v>
      </c>
      <c r="B3787" s="178" t="str">
        <f>INDEX(Orçamentária!A:B,MATCH(Composições!A3787,Orçamentária!A:A,0),2)</f>
        <v>Técnico(a) em Edificações - Planejamento de Manutenção</v>
      </c>
      <c r="C3787" s="30"/>
      <c r="D3787" s="13" t="str">
        <f>TRIM(INDEX(Orçamentária!C:C,MATCH(Composições!A3787,Orçamentária!A:A,0),1))</f>
        <v>Profissional</v>
      </c>
      <c r="E3787" s="14"/>
      <c r="F3787" s="15" t="s">
        <v>17</v>
      </c>
      <c r="G3787" s="40" t="s">
        <v>1079</v>
      </c>
      <c r="H3787" s="16"/>
      <c r="I3787" s="16" t="str">
        <f>IF(ISNUMBER(G3787),E3787*G3787,"")</f>
        <v/>
      </c>
      <c r="J3787" s="17"/>
      <c r="K3787" s="18"/>
      <c r="L3787" s="174">
        <v>0</v>
      </c>
    </row>
    <row r="3788" spans="1:12" hidden="1" x14ac:dyDescent="0.25">
      <c r="A3788" s="186"/>
      <c r="B3788" s="179"/>
      <c r="C3788" s="20"/>
      <c r="D3788" s="20"/>
      <c r="E3788" s="21"/>
      <c r="F3788" s="22"/>
      <c r="G3788" s="46" t="s">
        <v>1079</v>
      </c>
      <c r="H3788" s="20"/>
      <c r="I3788" s="46" t="str">
        <f>IF(ISNUMBER(G3788),E3788*G3788,"")</f>
        <v/>
      </c>
      <c r="J3788" s="69"/>
      <c r="K3788" s="70"/>
      <c r="L3788" s="174">
        <v>0</v>
      </c>
    </row>
    <row r="3789" spans="1:12" hidden="1" x14ac:dyDescent="0.25">
      <c r="A3789" s="186"/>
      <c r="B3789" s="179"/>
      <c r="C3789" s="25" t="s">
        <v>2200</v>
      </c>
      <c r="D3789" s="36" t="s">
        <v>21</v>
      </c>
      <c r="E3789" s="26">
        <f>ROUND(1/(1+72.54%),2)</f>
        <v>0.57999999999999996</v>
      </c>
      <c r="F3789" s="27" t="s">
        <v>17</v>
      </c>
      <c r="G3789" s="46">
        <v>2496.7899999999995</v>
      </c>
      <c r="H3789" s="27" t="s">
        <v>2201</v>
      </c>
      <c r="I3789" s="46">
        <f>IF(ISNUMBER(G3789),E3789*G3789,"")</f>
        <v>1448.1381999999996</v>
      </c>
      <c r="J3789" s="28">
        <f>SUM(I3789:I3789)</f>
        <v>1448.1381999999996</v>
      </c>
      <c r="K3789" s="29"/>
      <c r="L3789" s="174">
        <v>0</v>
      </c>
    </row>
    <row r="3790" spans="1:12" hidden="1" x14ac:dyDescent="0.25">
      <c r="A3790" s="186"/>
      <c r="B3790" s="179"/>
      <c r="C3790" s="25"/>
      <c r="D3790" s="36"/>
      <c r="E3790" s="26"/>
      <c r="F3790" s="27"/>
      <c r="G3790" s="46" t="s">
        <v>1079</v>
      </c>
      <c r="H3790" s="27"/>
      <c r="I3790" s="46" t="str">
        <f>IF(ISNUMBER(G3790),E3790*G3790,"")</f>
        <v/>
      </c>
      <c r="J3790" s="69"/>
      <c r="K3790" s="70"/>
      <c r="L3790" s="174">
        <v>0</v>
      </c>
    </row>
    <row r="3791" spans="1:12" ht="25.5" hidden="1" x14ac:dyDescent="0.25">
      <c r="A3791" s="186"/>
      <c r="B3791" s="179"/>
      <c r="C3791" s="39" t="s">
        <v>1495</v>
      </c>
      <c r="D3791" s="36"/>
      <c r="E3791" s="26"/>
      <c r="F3791" s="27"/>
      <c r="G3791" s="46" t="s">
        <v>1079</v>
      </c>
      <c r="H3791" s="27"/>
      <c r="I3791" s="46" t="str">
        <f>IF(ISNUMBER(G3791),E3791*G3791,"")</f>
        <v/>
      </c>
      <c r="J3791" s="69"/>
      <c r="K3791" s="70"/>
      <c r="L3791" s="174">
        <v>0</v>
      </c>
    </row>
    <row r="3792" spans="1:12" ht="15.75" hidden="1" thickBot="1" x14ac:dyDescent="0.3">
      <c r="A3792" s="186"/>
      <c r="B3792" s="179"/>
      <c r="C3792" s="47"/>
      <c r="D3792" s="47"/>
      <c r="E3792" s="60"/>
      <c r="F3792" s="61"/>
      <c r="G3792" s="73" t="s">
        <v>1079</v>
      </c>
      <c r="H3792" s="61"/>
      <c r="I3792" s="73" t="str">
        <f>IF(ISNUMBER(G3792),E3792*G3792,"")</f>
        <v/>
      </c>
      <c r="J3792" s="75"/>
      <c r="K3792" s="70"/>
      <c r="L3792" s="174">
        <v>0</v>
      </c>
    </row>
    <row r="3793" spans="1:12" ht="15.75" hidden="1" thickBot="1" x14ac:dyDescent="0.3">
      <c r="A3793" s="180" t="s">
        <v>2202</v>
      </c>
      <c r="B3793" s="178" t="str">
        <f>INDEX(Orçamentária!A:B,MATCH(Composições!A3793,Orçamentária!A:A,0),2)</f>
        <v>Projeto de Impermeabilização</v>
      </c>
      <c r="C3793" s="30"/>
      <c r="D3793" s="13" t="str">
        <f>TRIM(INDEX(Orçamentária!C:C,MATCH(Composições!A3793,Orçamentária!A:A,0),1))</f>
        <v>m2</v>
      </c>
      <c r="E3793" s="14"/>
      <c r="F3793" s="15" t="s">
        <v>17</v>
      </c>
      <c r="G3793" s="40" t="s">
        <v>1079</v>
      </c>
      <c r="H3793" s="16"/>
      <c r="I3793" s="16" t="str">
        <f>IF(ISNUMBER(G3793),E3793*G3793,"")</f>
        <v/>
      </c>
      <c r="J3793" s="17"/>
      <c r="K3793" s="18"/>
      <c r="L3793" s="174">
        <v>0</v>
      </c>
    </row>
    <row r="3794" spans="1:12" hidden="1" x14ac:dyDescent="0.25">
      <c r="A3794" s="186"/>
      <c r="B3794" s="179"/>
      <c r="C3794" s="20"/>
      <c r="D3794" s="20"/>
      <c r="E3794" s="21"/>
      <c r="F3794" s="22"/>
      <c r="G3794" s="46" t="s">
        <v>1079</v>
      </c>
      <c r="H3794" s="20"/>
      <c r="I3794" s="46" t="str">
        <f>IF(ISNUMBER(G3794),E3794*G3794,"")</f>
        <v/>
      </c>
      <c r="J3794" s="69"/>
      <c r="K3794" s="70"/>
      <c r="L3794" s="174">
        <v>0</v>
      </c>
    </row>
    <row r="3795" spans="1:12" hidden="1" x14ac:dyDescent="0.25">
      <c r="A3795" s="186"/>
      <c r="B3795" s="179"/>
      <c r="C3795" s="25" t="s">
        <v>2203</v>
      </c>
      <c r="D3795" s="36" t="s">
        <v>21</v>
      </c>
      <c r="E3795" s="26">
        <f>ROUND(1/8,4)</f>
        <v>0.125</v>
      </c>
      <c r="F3795" s="27" t="s">
        <v>17</v>
      </c>
      <c r="G3795" s="46">
        <v>81.614499999999992</v>
      </c>
      <c r="H3795" s="27" t="s">
        <v>30</v>
      </c>
      <c r="I3795" s="46">
        <f>IF(ISNUMBER(G3795),E3795*G3795,"")</f>
        <v>10.201812499999999</v>
      </c>
      <c r="J3795" s="28">
        <f>SUM(I3795:I3795)</f>
        <v>10.201812499999999</v>
      </c>
      <c r="K3795" s="29"/>
      <c r="L3795" s="174">
        <v>0</v>
      </c>
    </row>
    <row r="3796" spans="1:12" hidden="1" x14ac:dyDescent="0.25">
      <c r="A3796" s="186"/>
      <c r="B3796" s="179"/>
      <c r="C3796" s="25"/>
      <c r="D3796" s="36"/>
      <c r="E3796" s="26"/>
      <c r="F3796" s="27"/>
      <c r="G3796" s="46" t="s">
        <v>1079</v>
      </c>
      <c r="H3796" s="27"/>
      <c r="I3796" s="46" t="str">
        <f>IF(ISNUMBER(G3796),E3796*G3796,"")</f>
        <v/>
      </c>
      <c r="J3796" s="69"/>
      <c r="K3796" s="70"/>
      <c r="L3796" s="174">
        <v>0</v>
      </c>
    </row>
    <row r="3797" spans="1:12" ht="15.75" hidden="1" thickBot="1" x14ac:dyDescent="0.3">
      <c r="A3797" s="180" t="s">
        <v>2204</v>
      </c>
      <c r="B3797" s="178" t="str">
        <f>INDEX(Orçamentária!A:B,MATCH(Composições!A3797,Orçamentária!A:A,0),2)</f>
        <v>Laminado decorativo de alta pressão (LDAP)</v>
      </c>
      <c r="C3797" s="30"/>
      <c r="D3797" s="13" t="str">
        <f>TRIM(INDEX(Orçamentária!C:C,MATCH(Composições!A3797,Orçamentária!A:A,0),1))</f>
        <v>m2</v>
      </c>
      <c r="E3797" s="14"/>
      <c r="F3797" s="15" t="s">
        <v>2205</v>
      </c>
      <c r="G3797" s="40" t="s">
        <v>1079</v>
      </c>
      <c r="H3797" s="16"/>
      <c r="I3797" s="16" t="str">
        <f>IF(ISNUMBER(G3797),E3797*G3797,"")</f>
        <v/>
      </c>
      <c r="J3797" s="17"/>
      <c r="K3797" s="18"/>
      <c r="L3797" s="174">
        <v>0</v>
      </c>
    </row>
    <row r="3798" spans="1:12" hidden="1" x14ac:dyDescent="0.25">
      <c r="A3798" s="186"/>
      <c r="B3798" s="179"/>
      <c r="C3798" s="20"/>
      <c r="D3798" s="20"/>
      <c r="E3798" s="21"/>
      <c r="F3798" s="22"/>
      <c r="G3798" s="46" t="s">
        <v>1079</v>
      </c>
      <c r="H3798" s="20"/>
      <c r="I3798" s="46" t="str">
        <f>IF(ISNUMBER(G3798),E3798*G3798,"")</f>
        <v/>
      </c>
      <c r="J3798" s="69"/>
      <c r="K3798" s="70"/>
      <c r="L3798" s="174">
        <v>0</v>
      </c>
    </row>
    <row r="3799" spans="1:12" hidden="1" x14ac:dyDescent="0.25">
      <c r="A3799" s="186"/>
      <c r="B3799" s="179"/>
      <c r="C3799" s="25" t="s">
        <v>38</v>
      </c>
      <c r="D3799" s="36" t="s">
        <v>21</v>
      </c>
      <c r="E3799" s="26">
        <v>0.18</v>
      </c>
      <c r="F3799" s="27" t="s">
        <v>2206</v>
      </c>
      <c r="G3799" s="46">
        <v>14.325999999999999</v>
      </c>
      <c r="H3799" s="27" t="s">
        <v>39</v>
      </c>
      <c r="I3799" s="46">
        <f>IF(ISNUMBER(G3799),E3799*G3799,"")</f>
        <v>2.5786799999999999</v>
      </c>
      <c r="J3799" s="28">
        <f>SUM(I3799:I3802)</f>
        <v>32.758469999999996</v>
      </c>
      <c r="K3799" s="29"/>
      <c r="L3799" s="174">
        <v>0</v>
      </c>
    </row>
    <row r="3800" spans="1:12" hidden="1" x14ac:dyDescent="0.25">
      <c r="A3800" s="186"/>
      <c r="B3800" s="179"/>
      <c r="C3800" s="25" t="s">
        <v>2207</v>
      </c>
      <c r="D3800" s="36" t="s">
        <v>21</v>
      </c>
      <c r="E3800" s="26">
        <v>0.18</v>
      </c>
      <c r="F3800" s="27" t="s">
        <v>2206</v>
      </c>
      <c r="G3800" s="46">
        <v>22.077999999999996</v>
      </c>
      <c r="H3800" s="27" t="s">
        <v>2208</v>
      </c>
      <c r="I3800" s="46">
        <f>IF(ISNUMBER(G3800),E3800*G3800,"")</f>
        <v>3.9740399999999991</v>
      </c>
      <c r="J3800" s="69"/>
      <c r="K3800" s="70"/>
      <c r="L3800" s="174">
        <v>0</v>
      </c>
    </row>
    <row r="3801" spans="1:12" hidden="1" x14ac:dyDescent="0.25">
      <c r="A3801" s="186"/>
      <c r="B3801" s="179"/>
      <c r="C3801" s="25" t="s">
        <v>503</v>
      </c>
      <c r="D3801" s="25" t="s">
        <v>75</v>
      </c>
      <c r="E3801" s="26">
        <v>0.9</v>
      </c>
      <c r="F3801" s="27" t="s">
        <v>2206</v>
      </c>
      <c r="G3801" s="46">
        <v>29.117499999999996</v>
      </c>
      <c r="H3801" s="27" t="s">
        <v>495</v>
      </c>
      <c r="I3801" s="46">
        <f>IF(ISNUMBER(G3801),E3801*G3801,"")</f>
        <v>26.205749999999998</v>
      </c>
      <c r="J3801" s="69"/>
      <c r="K3801" s="70"/>
      <c r="L3801" s="174">
        <v>0</v>
      </c>
    </row>
    <row r="3802" spans="1:12" hidden="1" x14ac:dyDescent="0.25">
      <c r="A3802" s="186"/>
      <c r="B3802" s="179"/>
      <c r="C3802" s="25" t="s">
        <v>2209</v>
      </c>
      <c r="D3802" s="25" t="s">
        <v>189</v>
      </c>
      <c r="E3802" s="26">
        <v>1.05</v>
      </c>
      <c r="F3802" s="27" t="s">
        <v>2206</v>
      </c>
      <c r="G3802" s="46">
        <v>0</v>
      </c>
      <c r="H3802" s="27" t="s">
        <v>2210</v>
      </c>
      <c r="I3802" s="46">
        <f>IF(ISNUMBER(G3802),E3802*G3802,"")</f>
        <v>0</v>
      </c>
      <c r="J3802" s="69"/>
      <c r="K3802" s="70"/>
      <c r="L3802" s="174">
        <v>0</v>
      </c>
    </row>
    <row r="3803" spans="1:12" ht="15.75" hidden="1" thickBot="1" x14ac:dyDescent="0.3">
      <c r="A3803" s="186"/>
      <c r="B3803" s="179"/>
      <c r="C3803" s="47"/>
      <c r="D3803" s="47"/>
      <c r="E3803" s="60"/>
      <c r="F3803" s="61"/>
      <c r="G3803" s="73" t="s">
        <v>1079</v>
      </c>
      <c r="H3803" s="61"/>
      <c r="I3803" s="73" t="str">
        <f>IF(ISNUMBER(G3803),E3803*G3803,"")</f>
        <v/>
      </c>
      <c r="J3803" s="75"/>
      <c r="K3803" s="70"/>
      <c r="L3803" s="174">
        <v>0</v>
      </c>
    </row>
    <row r="3804" spans="1:12" ht="15.75" hidden="1" thickBot="1" x14ac:dyDescent="0.3">
      <c r="A3804" s="180" t="s">
        <v>2211</v>
      </c>
      <c r="B3804" s="178" t="str">
        <f>INDEX(Orçamentária!A:B,MATCH(Composições!A3804,Orçamentária!A:A,0),2)</f>
        <v>Granito Preto Absoluto para revestimento de superfícies internas e externas - Linha Administrativa</v>
      </c>
      <c r="C3804" s="30"/>
      <c r="D3804" s="13" t="str">
        <f>TRIM(INDEX(Orçamentária!C:C,MATCH(Composições!A3804,Orçamentária!A:A,0),1))</f>
        <v>m2</v>
      </c>
      <c r="E3804" s="14"/>
      <c r="F3804" s="15" t="s">
        <v>470</v>
      </c>
      <c r="G3804" s="31" t="s">
        <v>1079</v>
      </c>
      <c r="H3804" s="16"/>
      <c r="I3804" s="16" t="str">
        <f>IF(ISNUMBER(G3804),E3804*G3804,"")</f>
        <v/>
      </c>
      <c r="J3804" s="17"/>
      <c r="K3804" s="18"/>
      <c r="L3804" s="174">
        <v>0</v>
      </c>
    </row>
    <row r="3805" spans="1:12" hidden="1" x14ac:dyDescent="0.25">
      <c r="A3805" s="181"/>
      <c r="B3805" s="179"/>
      <c r="C3805" s="20"/>
      <c r="D3805" s="20"/>
      <c r="E3805" s="21"/>
      <c r="F3805" s="22"/>
      <c r="G3805" s="32" t="s">
        <v>1079</v>
      </c>
      <c r="H3805" s="20"/>
      <c r="I3805" s="19" t="str">
        <f>IF(ISNUMBER(G3805),E3805*G3805,"")</f>
        <v/>
      </c>
      <c r="J3805" s="24"/>
      <c r="K3805" s="19"/>
      <c r="L3805" s="174">
        <v>0</v>
      </c>
    </row>
    <row r="3806" spans="1:12" hidden="1" x14ac:dyDescent="0.25">
      <c r="A3806" s="181"/>
      <c r="B3806" s="179"/>
      <c r="C3806" s="25" t="s">
        <v>471</v>
      </c>
      <c r="D3806" s="25" t="s">
        <v>75</v>
      </c>
      <c r="E3806" s="26">
        <v>8.6199999999999992</v>
      </c>
      <c r="F3806" s="27" t="s">
        <v>472</v>
      </c>
      <c r="G3806" s="23">
        <v>1.159</v>
      </c>
      <c r="H3806" s="27" t="s">
        <v>473</v>
      </c>
      <c r="I3806" s="23">
        <f>IF(ISNUMBER(G3806),E3806*G3806,"")</f>
        <v>9.9905799999999996</v>
      </c>
      <c r="J3806" s="28">
        <f>SUM(I3806:I3810)</f>
        <v>37.956527999999999</v>
      </c>
      <c r="K3806" s="29"/>
      <c r="L3806" s="174">
        <v>0</v>
      </c>
    </row>
    <row r="3807" spans="1:12" hidden="1" x14ac:dyDescent="0.25">
      <c r="A3807" s="181"/>
      <c r="B3807" s="179"/>
      <c r="C3807" s="25" t="s">
        <v>101</v>
      </c>
      <c r="D3807" s="25" t="s">
        <v>21</v>
      </c>
      <c r="E3807" s="26">
        <v>1.1879999999999999</v>
      </c>
      <c r="F3807" s="27" t="s">
        <v>472</v>
      </c>
      <c r="G3807" s="19">
        <v>16.093</v>
      </c>
      <c r="H3807" s="27" t="s">
        <v>103</v>
      </c>
      <c r="I3807" s="23">
        <f>IF(ISNUMBER(G3807),E3807*G3807,"")</f>
        <v>19.118483999999999</v>
      </c>
      <c r="J3807" s="24"/>
      <c r="K3807" s="19"/>
      <c r="L3807" s="174">
        <v>0</v>
      </c>
    </row>
    <row r="3808" spans="1:12" hidden="1" x14ac:dyDescent="0.25">
      <c r="A3808" s="181"/>
      <c r="B3808" s="179"/>
      <c r="C3808" s="25" t="s">
        <v>38</v>
      </c>
      <c r="D3808" s="25" t="s">
        <v>21</v>
      </c>
      <c r="E3808" s="26">
        <v>0.59399999999999997</v>
      </c>
      <c r="F3808" s="27" t="s">
        <v>472</v>
      </c>
      <c r="G3808" s="19">
        <v>14.325999999999999</v>
      </c>
      <c r="H3808" s="27" t="s">
        <v>39</v>
      </c>
      <c r="I3808" s="23">
        <f>IF(ISNUMBER(G3808),E3808*G3808,"")</f>
        <v>8.509643999999998</v>
      </c>
      <c r="J3808" s="24"/>
      <c r="K3808" s="19"/>
      <c r="L3808" s="174">
        <v>0</v>
      </c>
    </row>
    <row r="3809" spans="1:12" hidden="1" x14ac:dyDescent="0.25">
      <c r="A3809" s="181"/>
      <c r="B3809" s="179"/>
      <c r="C3809" s="25" t="s">
        <v>457</v>
      </c>
      <c r="D3809" s="25" t="s">
        <v>75</v>
      </c>
      <c r="E3809" s="26">
        <v>0.14000000000000001</v>
      </c>
      <c r="F3809" s="27" t="s">
        <v>472</v>
      </c>
      <c r="G3809" s="23">
        <v>2.4129999999999998</v>
      </c>
      <c r="H3809" s="27" t="s">
        <v>458</v>
      </c>
      <c r="I3809" s="23">
        <f>IF(ISNUMBER(G3809),E3809*G3809,"")</f>
        <v>0.33782000000000001</v>
      </c>
      <c r="J3809" s="24"/>
      <c r="K3809" s="19"/>
      <c r="L3809" s="174">
        <v>0</v>
      </c>
    </row>
    <row r="3810" spans="1:12" hidden="1" x14ac:dyDescent="0.25">
      <c r="A3810" s="181"/>
      <c r="B3810" s="179"/>
      <c r="C3810" s="25" t="s">
        <v>2212</v>
      </c>
      <c r="D3810" s="25" t="s">
        <v>189</v>
      </c>
      <c r="E3810" s="26">
        <v>1.1599999999999999</v>
      </c>
      <c r="F3810" s="27" t="s">
        <v>472</v>
      </c>
      <c r="G3810" s="23" t="s">
        <v>1079</v>
      </c>
      <c r="H3810" s="27" t="s">
        <v>33</v>
      </c>
      <c r="I3810" s="46" t="str">
        <f>IF(ISNUMBER(G3810),E3810*G3810,"")</f>
        <v/>
      </c>
      <c r="J3810" s="24"/>
      <c r="K3810" s="19"/>
      <c r="L3810" s="174">
        <v>0</v>
      </c>
    </row>
    <row r="3811" spans="1:12" ht="15.75" hidden="1" thickBot="1" x14ac:dyDescent="0.3">
      <c r="A3811" s="182"/>
      <c r="B3811" s="183"/>
      <c r="C3811" s="25"/>
      <c r="D3811" s="25"/>
      <c r="E3811" s="26"/>
      <c r="F3811" s="27"/>
      <c r="G3811" s="19" t="s">
        <v>1079</v>
      </c>
      <c r="H3811" s="27"/>
      <c r="I3811" s="19" t="str">
        <f>IF(ISNUMBER(G3811),E3811*G3811,"")</f>
        <v/>
      </c>
      <c r="J3811" s="24"/>
      <c r="K3811" s="19"/>
      <c r="L3811" s="174">
        <v>0</v>
      </c>
    </row>
    <row r="3812" spans="1:12" ht="15.75" hidden="1" thickBot="1" x14ac:dyDescent="0.3">
      <c r="A3812" s="180" t="s">
        <v>2213</v>
      </c>
      <c r="B3812" s="178" t="str">
        <f>INDEX(Orçamentária!A:B,MATCH(Composições!A3812,Orçamentária!A:A,0),2)</f>
        <v>Granito Arabesco para revestimento de superfícies internas e externas - Linha Administrativa</v>
      </c>
      <c r="C3812" s="30"/>
      <c r="D3812" s="13" t="str">
        <f>TRIM(INDEX(Orçamentária!C:C,MATCH(Composições!A3812,Orçamentária!A:A,0),1))</f>
        <v>m2</v>
      </c>
      <c r="E3812" s="14"/>
      <c r="F3812" s="15" t="s">
        <v>470</v>
      </c>
      <c r="G3812" s="31" t="s">
        <v>1079</v>
      </c>
      <c r="H3812" s="16"/>
      <c r="I3812" s="16" t="str">
        <f>IF(ISNUMBER(G3812),E3812*G3812,"")</f>
        <v/>
      </c>
      <c r="J3812" s="17"/>
      <c r="K3812" s="18"/>
      <c r="L3812" s="174">
        <v>0</v>
      </c>
    </row>
    <row r="3813" spans="1:12" hidden="1" x14ac:dyDescent="0.25">
      <c r="A3813" s="181"/>
      <c r="B3813" s="179"/>
      <c r="C3813" s="20"/>
      <c r="D3813" s="20"/>
      <c r="E3813" s="21"/>
      <c r="F3813" s="22"/>
      <c r="G3813" s="32" t="s">
        <v>1079</v>
      </c>
      <c r="H3813" s="20"/>
      <c r="I3813" s="19" t="str">
        <f>IF(ISNUMBER(G3813),E3813*G3813,"")</f>
        <v/>
      </c>
      <c r="J3813" s="24"/>
      <c r="K3813" s="19"/>
      <c r="L3813" s="174">
        <v>0</v>
      </c>
    </row>
    <row r="3814" spans="1:12" hidden="1" x14ac:dyDescent="0.25">
      <c r="A3814" s="181"/>
      <c r="B3814" s="179"/>
      <c r="C3814" s="25" t="s">
        <v>471</v>
      </c>
      <c r="D3814" s="25" t="s">
        <v>75</v>
      </c>
      <c r="E3814" s="26">
        <v>8.6199999999999992</v>
      </c>
      <c r="F3814" s="27" t="s">
        <v>472</v>
      </c>
      <c r="G3814" s="23">
        <v>1.159</v>
      </c>
      <c r="H3814" s="27" t="s">
        <v>473</v>
      </c>
      <c r="I3814" s="23">
        <f>IF(ISNUMBER(G3814),E3814*G3814,"")</f>
        <v>9.9905799999999996</v>
      </c>
      <c r="J3814" s="28">
        <f>SUM(I3814:I3818)</f>
        <v>37.956527999999999</v>
      </c>
      <c r="K3814" s="29"/>
      <c r="L3814" s="174">
        <v>0</v>
      </c>
    </row>
    <row r="3815" spans="1:12" hidden="1" x14ac:dyDescent="0.25">
      <c r="A3815" s="181"/>
      <c r="B3815" s="179"/>
      <c r="C3815" s="25" t="s">
        <v>101</v>
      </c>
      <c r="D3815" s="25" t="s">
        <v>21</v>
      </c>
      <c r="E3815" s="26">
        <v>1.1879999999999999</v>
      </c>
      <c r="F3815" s="27" t="s">
        <v>472</v>
      </c>
      <c r="G3815" s="19">
        <v>16.093</v>
      </c>
      <c r="H3815" s="27" t="s">
        <v>103</v>
      </c>
      <c r="I3815" s="23">
        <f>IF(ISNUMBER(G3815),E3815*G3815,"")</f>
        <v>19.118483999999999</v>
      </c>
      <c r="J3815" s="24"/>
      <c r="K3815" s="19"/>
      <c r="L3815" s="174">
        <v>0</v>
      </c>
    </row>
    <row r="3816" spans="1:12" hidden="1" x14ac:dyDescent="0.25">
      <c r="A3816" s="181"/>
      <c r="B3816" s="179"/>
      <c r="C3816" s="25" t="s">
        <v>38</v>
      </c>
      <c r="D3816" s="25" t="s">
        <v>21</v>
      </c>
      <c r="E3816" s="26">
        <v>0.59399999999999997</v>
      </c>
      <c r="F3816" s="27" t="s">
        <v>472</v>
      </c>
      <c r="G3816" s="19">
        <v>14.325999999999999</v>
      </c>
      <c r="H3816" s="27" t="s">
        <v>39</v>
      </c>
      <c r="I3816" s="23">
        <f>IF(ISNUMBER(G3816),E3816*G3816,"")</f>
        <v>8.509643999999998</v>
      </c>
      <c r="J3816" s="24"/>
      <c r="K3816" s="19"/>
      <c r="L3816" s="174">
        <v>0</v>
      </c>
    </row>
    <row r="3817" spans="1:12" hidden="1" x14ac:dyDescent="0.25">
      <c r="A3817" s="181"/>
      <c r="B3817" s="179"/>
      <c r="C3817" s="25" t="s">
        <v>457</v>
      </c>
      <c r="D3817" s="25" t="s">
        <v>75</v>
      </c>
      <c r="E3817" s="26">
        <v>0.14000000000000001</v>
      </c>
      <c r="F3817" s="27" t="s">
        <v>472</v>
      </c>
      <c r="G3817" s="23">
        <v>2.4129999999999998</v>
      </c>
      <c r="H3817" s="27" t="s">
        <v>458</v>
      </c>
      <c r="I3817" s="23">
        <f>IF(ISNUMBER(G3817),E3817*G3817,"")</f>
        <v>0.33782000000000001</v>
      </c>
      <c r="J3817" s="24"/>
      <c r="K3817" s="19"/>
      <c r="L3817" s="174">
        <v>0</v>
      </c>
    </row>
    <row r="3818" spans="1:12" hidden="1" x14ac:dyDescent="0.25">
      <c r="A3818" s="181"/>
      <c r="B3818" s="179"/>
      <c r="C3818" s="25" t="s">
        <v>2214</v>
      </c>
      <c r="D3818" s="25" t="s">
        <v>189</v>
      </c>
      <c r="E3818" s="26">
        <v>1.1599999999999999</v>
      </c>
      <c r="F3818" s="27" t="s">
        <v>472</v>
      </c>
      <c r="G3818" s="23" t="s">
        <v>1079</v>
      </c>
      <c r="H3818" s="27" t="s">
        <v>33</v>
      </c>
      <c r="I3818" s="46" t="str">
        <f>IF(ISNUMBER(G3818),E3818*G3818,"")</f>
        <v/>
      </c>
      <c r="J3818" s="24"/>
      <c r="K3818" s="19"/>
      <c r="L3818" s="174">
        <v>0</v>
      </c>
    </row>
    <row r="3819" spans="1:12" ht="15.75" hidden="1" thickBot="1" x14ac:dyDescent="0.3">
      <c r="A3819" s="182"/>
      <c r="B3819" s="183"/>
      <c r="C3819" s="25"/>
      <c r="D3819" s="25"/>
      <c r="E3819" s="26"/>
      <c r="F3819" s="27"/>
      <c r="G3819" s="19" t="s">
        <v>1079</v>
      </c>
      <c r="H3819" s="27"/>
      <c r="I3819" s="19" t="str">
        <f>IF(ISNUMBER(G3819),E3819*G3819,"")</f>
        <v/>
      </c>
      <c r="J3819" s="24"/>
      <c r="K3819" s="19"/>
      <c r="L3819" s="174">
        <v>0</v>
      </c>
    </row>
    <row r="3820" spans="1:12" ht="15.75" hidden="1" thickBot="1" x14ac:dyDescent="0.3">
      <c r="A3820" s="180" t="s">
        <v>2215</v>
      </c>
      <c r="B3820" s="178" t="str">
        <f>INDEX(Orçamentária!A:B,MATCH(Composições!A3820,Orçamentária!A:A,0),2)</f>
        <v>Porcelanato para revestimento de superfícies internas e externas - Linha Residencial</v>
      </c>
      <c r="C3820" s="30"/>
      <c r="D3820" s="13" t="str">
        <f>TRIM(INDEX(Orçamentária!C:C,MATCH(Composições!A3820,Orçamentária!A:A,0),1))</f>
        <v>m2</v>
      </c>
      <c r="E3820" s="14"/>
      <c r="F3820" s="15" t="s">
        <v>2216</v>
      </c>
      <c r="G3820" s="40" t="s">
        <v>1079</v>
      </c>
      <c r="H3820" s="16"/>
      <c r="I3820" s="16" t="str">
        <f>IF(ISNUMBER(G3820),E3820*G3820,"")</f>
        <v/>
      </c>
      <c r="J3820" s="17"/>
      <c r="K3820" s="18"/>
      <c r="L3820" s="174">
        <v>0</v>
      </c>
    </row>
    <row r="3821" spans="1:12" hidden="1" x14ac:dyDescent="0.25">
      <c r="A3821" s="186"/>
      <c r="B3821" s="179"/>
      <c r="C3821" s="20"/>
      <c r="D3821" s="20"/>
      <c r="E3821" s="21"/>
      <c r="F3821" s="22"/>
      <c r="G3821" s="46" t="s">
        <v>1079</v>
      </c>
      <c r="H3821" s="20"/>
      <c r="I3821" s="46" t="str">
        <f>IF(ISNUMBER(G3821),E3821*G3821,"")</f>
        <v/>
      </c>
      <c r="J3821" s="69"/>
      <c r="K3821" s="70"/>
      <c r="L3821" s="174">
        <v>0</v>
      </c>
    </row>
    <row r="3822" spans="1:12" ht="25.5" hidden="1" x14ac:dyDescent="0.25">
      <c r="A3822" s="186"/>
      <c r="B3822" s="179"/>
      <c r="C3822" s="25" t="s">
        <v>2217</v>
      </c>
      <c r="D3822" s="25" t="s">
        <v>1795</v>
      </c>
      <c r="E3822" s="26">
        <v>1.07</v>
      </c>
      <c r="F3822" s="27" t="s">
        <v>2216</v>
      </c>
      <c r="G3822" s="46">
        <v>44.108499999999999</v>
      </c>
      <c r="H3822" s="27" t="s">
        <v>2218</v>
      </c>
      <c r="I3822" s="46">
        <f>IF(ISNUMBER(G3822),E3822*G3822,"")</f>
        <v>47.196095</v>
      </c>
      <c r="J3822" s="28">
        <f>SUM(I3822:I3826)</f>
        <v>72.989450000000005</v>
      </c>
      <c r="K3822" s="29"/>
      <c r="L3822" s="174">
        <v>0</v>
      </c>
    </row>
    <row r="3823" spans="1:12" hidden="1" x14ac:dyDescent="0.25">
      <c r="A3823" s="186"/>
      <c r="B3823" s="179"/>
      <c r="C3823" s="25" t="s">
        <v>2219</v>
      </c>
      <c r="D3823" s="25" t="s">
        <v>1629</v>
      </c>
      <c r="E3823" s="26">
        <v>0.24</v>
      </c>
      <c r="F3823" s="27" t="s">
        <v>2216</v>
      </c>
      <c r="G3823" s="46">
        <v>2.4129999999999998</v>
      </c>
      <c r="H3823" s="27" t="s">
        <v>458</v>
      </c>
      <c r="I3823" s="46">
        <f>IF(ISNUMBER(G3823),E3823*G3823,"")</f>
        <v>0.57911999999999997</v>
      </c>
      <c r="J3823" s="69"/>
      <c r="K3823" s="70"/>
      <c r="L3823" s="174">
        <v>0</v>
      </c>
    </row>
    <row r="3824" spans="1:12" hidden="1" x14ac:dyDescent="0.25">
      <c r="A3824" s="186"/>
      <c r="B3824" s="179"/>
      <c r="C3824" s="25" t="s">
        <v>1450</v>
      </c>
      <c r="D3824" s="25" t="s">
        <v>1629</v>
      </c>
      <c r="E3824" s="26">
        <v>8.6199999999999992</v>
      </c>
      <c r="F3824" s="27" t="s">
        <v>2216</v>
      </c>
      <c r="G3824" s="46">
        <v>1.159</v>
      </c>
      <c r="H3824" s="27" t="s">
        <v>473</v>
      </c>
      <c r="I3824" s="46">
        <f>IF(ISNUMBER(G3824),E3824*G3824,"")</f>
        <v>9.9905799999999996</v>
      </c>
      <c r="J3824" s="69"/>
      <c r="K3824" s="70"/>
      <c r="L3824" s="174">
        <v>0</v>
      </c>
    </row>
    <row r="3825" spans="1:12" hidden="1" x14ac:dyDescent="0.25">
      <c r="A3825" s="186"/>
      <c r="B3825" s="179"/>
      <c r="C3825" s="25" t="s">
        <v>2220</v>
      </c>
      <c r="D3825" s="25" t="s">
        <v>1366</v>
      </c>
      <c r="E3825" s="26">
        <v>0.61</v>
      </c>
      <c r="F3825" s="27" t="s">
        <v>2216</v>
      </c>
      <c r="G3825" s="46">
        <v>19.0855</v>
      </c>
      <c r="H3825" s="27" t="s">
        <v>65</v>
      </c>
      <c r="I3825" s="46">
        <f>IF(ISNUMBER(G3825),E3825*G3825,"")</f>
        <v>11.642154999999999</v>
      </c>
      <c r="J3825" s="69"/>
      <c r="K3825" s="70"/>
      <c r="L3825" s="174">
        <v>0</v>
      </c>
    </row>
    <row r="3826" spans="1:12" hidden="1" x14ac:dyDescent="0.25">
      <c r="A3826" s="186"/>
      <c r="B3826" s="179"/>
      <c r="C3826" s="25" t="s">
        <v>1367</v>
      </c>
      <c r="D3826" s="25" t="s">
        <v>1366</v>
      </c>
      <c r="E3826" s="26">
        <v>0.25</v>
      </c>
      <c r="F3826" s="27" t="s">
        <v>2216</v>
      </c>
      <c r="G3826" s="46">
        <v>14.325999999999999</v>
      </c>
      <c r="H3826" s="27" t="s">
        <v>39</v>
      </c>
      <c r="I3826" s="46">
        <f>IF(ISNUMBER(G3826),E3826*G3826,"")</f>
        <v>3.5814999999999997</v>
      </c>
      <c r="J3826" s="69"/>
      <c r="K3826" s="70"/>
      <c r="L3826" s="174">
        <v>0</v>
      </c>
    </row>
    <row r="3827" spans="1:12" hidden="1" x14ac:dyDescent="0.25">
      <c r="A3827" s="186"/>
      <c r="B3827" s="179"/>
      <c r="C3827" s="25"/>
      <c r="D3827" s="36"/>
      <c r="E3827" s="26"/>
      <c r="F3827" s="27"/>
      <c r="G3827" s="46" t="s">
        <v>1079</v>
      </c>
      <c r="H3827" s="27"/>
      <c r="I3827" s="46" t="str">
        <f>IF(ISNUMBER(G3827),E3827*G3827,"")</f>
        <v/>
      </c>
      <c r="J3827" s="69"/>
      <c r="K3827" s="70"/>
      <c r="L3827" s="174">
        <v>0</v>
      </c>
    </row>
    <row r="3828" spans="1:12" ht="15.75" hidden="1" thickBot="1" x14ac:dyDescent="0.3">
      <c r="A3828" s="180" t="s">
        <v>2221</v>
      </c>
      <c r="B3828" s="178" t="str">
        <f>INDEX(Orçamentária!A:B,MATCH(Composições!A3828,Orçamentária!A:A,0),2)</f>
        <v>Granitina para revestimento de pisos</v>
      </c>
      <c r="C3828" s="30"/>
      <c r="D3828" s="13" t="str">
        <f>TRIM(INDEX(Orçamentária!C:C,MATCH(Composições!A3828,Orçamentária!A:A,0),1))</f>
        <v>m2</v>
      </c>
      <c r="E3828" s="14"/>
      <c r="F3828" s="15" t="s">
        <v>2222</v>
      </c>
      <c r="G3828" s="40" t="s">
        <v>1079</v>
      </c>
      <c r="H3828" s="16"/>
      <c r="I3828" s="16" t="str">
        <f>IF(ISNUMBER(G3828),E3828*G3828,"")</f>
        <v/>
      </c>
      <c r="J3828" s="17"/>
      <c r="K3828" s="18"/>
      <c r="L3828" s="174">
        <v>0</v>
      </c>
    </row>
    <row r="3829" spans="1:12" hidden="1" x14ac:dyDescent="0.25">
      <c r="A3829" s="186"/>
      <c r="B3829" s="179"/>
      <c r="C3829" s="20"/>
      <c r="D3829" s="20"/>
      <c r="E3829" s="21"/>
      <c r="F3829" s="22"/>
      <c r="G3829" s="46" t="s">
        <v>1079</v>
      </c>
      <c r="H3829" s="20"/>
      <c r="I3829" s="46" t="str">
        <f>IF(ISNUMBER(G3829),E3829*G3829,"")</f>
        <v/>
      </c>
      <c r="J3829" s="69"/>
      <c r="K3829" s="70"/>
      <c r="L3829" s="174">
        <v>0</v>
      </c>
    </row>
    <row r="3830" spans="1:12" ht="25.5" hidden="1" x14ac:dyDescent="0.25">
      <c r="A3830" s="186"/>
      <c r="B3830" s="179"/>
      <c r="C3830" s="25" t="s">
        <v>2223</v>
      </c>
      <c r="D3830" s="25" t="s">
        <v>988</v>
      </c>
      <c r="E3830" s="26">
        <v>1</v>
      </c>
      <c r="F3830" s="27" t="s">
        <v>2222</v>
      </c>
      <c r="G3830" s="46">
        <v>0.71249999999999991</v>
      </c>
      <c r="H3830" s="27" t="s">
        <v>2224</v>
      </c>
      <c r="I3830" s="46">
        <f>IF(ISNUMBER(G3830),E3830*G3830,"")</f>
        <v>0.71249999999999991</v>
      </c>
      <c r="J3830" s="28">
        <f>SUM(I3830:I3834)</f>
        <v>93.669718895000003</v>
      </c>
      <c r="K3830" s="29"/>
      <c r="L3830" s="174">
        <v>0</v>
      </c>
    </row>
    <row r="3831" spans="1:12" ht="38.25" hidden="1" x14ac:dyDescent="0.25">
      <c r="A3831" s="186"/>
      <c r="B3831" s="179"/>
      <c r="C3831" s="25" t="s">
        <v>2225</v>
      </c>
      <c r="D3831" s="25" t="s">
        <v>1795</v>
      </c>
      <c r="E3831" s="26">
        <v>1</v>
      </c>
      <c r="F3831" s="27" t="s">
        <v>2222</v>
      </c>
      <c r="G3831" s="46">
        <v>67.45</v>
      </c>
      <c r="H3831" s="27" t="s">
        <v>2226</v>
      </c>
      <c r="I3831" s="46">
        <f>IF(ISNUMBER(G3831),E3831*G3831,"")</f>
        <v>67.45</v>
      </c>
      <c r="J3831" s="69"/>
      <c r="K3831" s="70"/>
      <c r="L3831" s="174">
        <v>0</v>
      </c>
    </row>
    <row r="3832" spans="1:12" ht="25.5" hidden="1" x14ac:dyDescent="0.25">
      <c r="A3832" s="186"/>
      <c r="B3832" s="179"/>
      <c r="C3832" s="25" t="s">
        <v>461</v>
      </c>
      <c r="D3832" s="25" t="s">
        <v>252</v>
      </c>
      <c r="E3832" s="26">
        <v>0.02</v>
      </c>
      <c r="F3832" s="27" t="s">
        <v>2222</v>
      </c>
      <c r="G3832" s="46">
        <v>486.19594474999997</v>
      </c>
      <c r="H3832" s="27" t="s">
        <v>463</v>
      </c>
      <c r="I3832" s="46">
        <f>IF(ISNUMBER(G3832),E3832*G3832,"")</f>
        <v>9.7239188949999988</v>
      </c>
      <c r="J3832" s="69"/>
      <c r="K3832" s="70"/>
      <c r="L3832" s="174">
        <v>0</v>
      </c>
    </row>
    <row r="3833" spans="1:12" hidden="1" x14ac:dyDescent="0.25">
      <c r="A3833" s="186"/>
      <c r="B3833" s="179"/>
      <c r="C3833" s="25" t="s">
        <v>1389</v>
      </c>
      <c r="D3833" s="25" t="s">
        <v>1366</v>
      </c>
      <c r="E3833" s="26">
        <v>0.6</v>
      </c>
      <c r="F3833" s="27" t="s">
        <v>2222</v>
      </c>
      <c r="G3833" s="46">
        <v>19.142499999999998</v>
      </c>
      <c r="H3833" s="27" t="s">
        <v>37</v>
      </c>
      <c r="I3833" s="46">
        <f>IF(ISNUMBER(G3833),E3833*G3833,"")</f>
        <v>11.485499999999998</v>
      </c>
      <c r="J3833" s="69"/>
      <c r="K3833" s="70"/>
      <c r="L3833" s="174">
        <v>0</v>
      </c>
    </row>
    <row r="3834" spans="1:12" hidden="1" x14ac:dyDescent="0.25">
      <c r="A3834" s="186"/>
      <c r="B3834" s="179"/>
      <c r="C3834" s="25" t="s">
        <v>1367</v>
      </c>
      <c r="D3834" s="25" t="s">
        <v>1366</v>
      </c>
      <c r="E3834" s="26">
        <v>0.3</v>
      </c>
      <c r="F3834" s="27" t="s">
        <v>2222</v>
      </c>
      <c r="G3834" s="46">
        <v>14.325999999999999</v>
      </c>
      <c r="H3834" s="27" t="s">
        <v>39</v>
      </c>
      <c r="I3834" s="46">
        <f>IF(ISNUMBER(G3834),E3834*G3834,"")</f>
        <v>4.2977999999999996</v>
      </c>
      <c r="J3834" s="69"/>
      <c r="K3834" s="70"/>
      <c r="L3834" s="174">
        <v>0</v>
      </c>
    </row>
    <row r="3835" spans="1:12" hidden="1" x14ac:dyDescent="0.25">
      <c r="A3835" s="186"/>
      <c r="B3835" s="179"/>
      <c r="C3835" s="25"/>
      <c r="D3835" s="36"/>
      <c r="E3835" s="26"/>
      <c r="F3835" s="27"/>
      <c r="G3835" s="46" t="s">
        <v>1079</v>
      </c>
      <c r="H3835" s="27"/>
      <c r="I3835" s="46" t="str">
        <f>IF(ISNUMBER(G3835),E3835*G3835,"")</f>
        <v/>
      </c>
      <c r="J3835" s="69"/>
      <c r="K3835" s="70"/>
      <c r="L3835" s="174">
        <v>0</v>
      </c>
    </row>
    <row r="3836" spans="1:12" ht="15.75" hidden="1" thickBot="1" x14ac:dyDescent="0.3">
      <c r="A3836" s="180" t="s">
        <v>2227</v>
      </c>
      <c r="B3836" s="178" t="str">
        <f>INDEX(Orçamentária!A:B,MATCH(Composições!A3836,Orçamentária!A:A,0),2)</f>
        <v>Piso vinílico flexível em manta</v>
      </c>
      <c r="C3836" s="30"/>
      <c r="D3836" s="13" t="str">
        <f>TRIM(INDEX(Orçamentária!C:C,MATCH(Composições!A3836,Orçamentária!A:A,0),1))</f>
        <v>m2</v>
      </c>
      <c r="E3836" s="14"/>
      <c r="F3836" s="15" t="s">
        <v>2228</v>
      </c>
      <c r="G3836" s="40" t="s">
        <v>1079</v>
      </c>
      <c r="H3836" s="16"/>
      <c r="I3836" s="16" t="str">
        <f>IF(ISNUMBER(G3836),E3836*G3836,"")</f>
        <v/>
      </c>
      <c r="J3836" s="17"/>
      <c r="K3836" s="18"/>
      <c r="L3836" s="174">
        <v>0</v>
      </c>
    </row>
    <row r="3837" spans="1:12" hidden="1" x14ac:dyDescent="0.25">
      <c r="A3837" s="186"/>
      <c r="B3837" s="179"/>
      <c r="C3837" s="20"/>
      <c r="D3837" s="20"/>
      <c r="E3837" s="21"/>
      <c r="F3837" s="22"/>
      <c r="G3837" s="46" t="s">
        <v>1079</v>
      </c>
      <c r="H3837" s="20"/>
      <c r="I3837" s="46" t="str">
        <f>IF(ISNUMBER(G3837),E3837*G3837,"")</f>
        <v/>
      </c>
      <c r="J3837" s="69"/>
      <c r="K3837" s="70"/>
      <c r="L3837" s="174">
        <v>0</v>
      </c>
    </row>
    <row r="3838" spans="1:12" hidden="1" x14ac:dyDescent="0.25">
      <c r="A3838" s="186"/>
      <c r="B3838" s="179"/>
      <c r="C3838" s="25" t="s">
        <v>2229</v>
      </c>
      <c r="D3838" s="36" t="s">
        <v>189</v>
      </c>
      <c r="E3838" s="26">
        <v>1.05</v>
      </c>
      <c r="F3838" s="27" t="s">
        <v>2230</v>
      </c>
      <c r="G3838" s="46" t="s">
        <v>1079</v>
      </c>
      <c r="H3838" s="27" t="s">
        <v>33</v>
      </c>
      <c r="I3838" s="46" t="str">
        <f>IF(ISNUMBER(G3838),E3838*G3838,"")</f>
        <v/>
      </c>
      <c r="J3838" s="28">
        <f>SUM(I3838:I3841)</f>
        <v>13.455799999999998</v>
      </c>
      <c r="K3838" s="29"/>
      <c r="L3838" s="174">
        <v>0</v>
      </c>
    </row>
    <row r="3839" spans="1:12" hidden="1" x14ac:dyDescent="0.25">
      <c r="A3839" s="186"/>
      <c r="B3839" s="179"/>
      <c r="C3839" s="25" t="s">
        <v>601</v>
      </c>
      <c r="D3839" s="36" t="s">
        <v>75</v>
      </c>
      <c r="E3839" s="26">
        <v>0.35</v>
      </c>
      <c r="F3839" s="27" t="s">
        <v>2230</v>
      </c>
      <c r="G3839" s="46">
        <v>24.101500000000001</v>
      </c>
      <c r="H3839" s="27" t="s">
        <v>602</v>
      </c>
      <c r="I3839" s="46">
        <f>IF(ISNUMBER(G3839),E3839*G3839,"")</f>
        <v>8.4355250000000002</v>
      </c>
      <c r="J3839" s="69"/>
      <c r="K3839" s="70"/>
      <c r="L3839" s="174">
        <v>0</v>
      </c>
    </row>
    <row r="3840" spans="1:12" hidden="1" x14ac:dyDescent="0.25">
      <c r="A3840" s="186"/>
      <c r="B3840" s="179"/>
      <c r="C3840" s="25" t="s">
        <v>36</v>
      </c>
      <c r="D3840" s="25" t="s">
        <v>21</v>
      </c>
      <c r="E3840" s="26">
        <v>0.15</v>
      </c>
      <c r="F3840" s="27" t="s">
        <v>2230</v>
      </c>
      <c r="G3840" s="46">
        <v>19.142499999999998</v>
      </c>
      <c r="H3840" s="27" t="s">
        <v>37</v>
      </c>
      <c r="I3840" s="46">
        <f>IF(ISNUMBER(G3840),E3840*G3840,"")</f>
        <v>2.8713749999999996</v>
      </c>
      <c r="J3840" s="69"/>
      <c r="K3840" s="70"/>
      <c r="L3840" s="174">
        <v>0</v>
      </c>
    </row>
    <row r="3841" spans="1:12" hidden="1" x14ac:dyDescent="0.25">
      <c r="A3841" s="186"/>
      <c r="B3841" s="179"/>
      <c r="C3841" s="25" t="s">
        <v>38</v>
      </c>
      <c r="D3841" s="25" t="s">
        <v>21</v>
      </c>
      <c r="E3841" s="26">
        <v>0.15</v>
      </c>
      <c r="F3841" s="27" t="s">
        <v>2230</v>
      </c>
      <c r="G3841" s="46">
        <v>14.325999999999999</v>
      </c>
      <c r="H3841" s="27" t="s">
        <v>39</v>
      </c>
      <c r="I3841" s="46">
        <f>IF(ISNUMBER(G3841),E3841*G3841,"")</f>
        <v>2.1488999999999998</v>
      </c>
      <c r="J3841" s="69"/>
      <c r="K3841" s="70"/>
      <c r="L3841" s="174">
        <v>0</v>
      </c>
    </row>
    <row r="3842" spans="1:12" ht="15.75" hidden="1" thickBot="1" x14ac:dyDescent="0.3">
      <c r="A3842" s="186"/>
      <c r="B3842" s="179"/>
      <c r="C3842" s="47"/>
      <c r="D3842" s="47"/>
      <c r="E3842" s="60"/>
      <c r="F3842" s="61"/>
      <c r="G3842" s="73" t="s">
        <v>1079</v>
      </c>
      <c r="H3842" s="61"/>
      <c r="I3842" s="73" t="str">
        <f>IF(ISNUMBER(G3842),E3842*G3842,"")</f>
        <v/>
      </c>
      <c r="J3842" s="75"/>
      <c r="K3842" s="70"/>
      <c r="L3842" s="174">
        <v>0</v>
      </c>
    </row>
    <row r="3843" spans="1:12" ht="15.75" hidden="1" thickBot="1" x14ac:dyDescent="0.3">
      <c r="A3843" s="180" t="s">
        <v>2231</v>
      </c>
      <c r="B3843" s="178" t="str">
        <f>INDEX(Orçamentária!A:B,MATCH(Composições!A3843,Orçamentária!A:A,0),2)</f>
        <v>Tratamento de juntas de dilatação ou movimentação</v>
      </c>
      <c r="C3843" s="30"/>
      <c r="D3843" s="13" t="str">
        <f>TRIM(INDEX(Orçamentária!C:C,MATCH(Composições!A3843,Orçamentária!A:A,0),1))</f>
        <v>m</v>
      </c>
      <c r="E3843" s="14"/>
      <c r="F3843" s="15" t="s">
        <v>17</v>
      </c>
      <c r="G3843" s="40" t="s">
        <v>1079</v>
      </c>
      <c r="H3843" s="16"/>
      <c r="I3843" s="16" t="str">
        <f>IF(ISNUMBER(G3843),E3843*G3843,"")</f>
        <v/>
      </c>
      <c r="J3843" s="17"/>
      <c r="K3843" s="18"/>
      <c r="L3843" s="174">
        <v>0</v>
      </c>
    </row>
    <row r="3844" spans="1:12" hidden="1" x14ac:dyDescent="0.25">
      <c r="A3844" s="186"/>
      <c r="B3844" s="179"/>
      <c r="C3844" s="20"/>
      <c r="D3844" s="20"/>
      <c r="E3844" s="21"/>
      <c r="F3844" s="22"/>
      <c r="G3844" s="46" t="s">
        <v>1079</v>
      </c>
      <c r="H3844" s="20"/>
      <c r="I3844" s="46" t="str">
        <f>IF(ISNUMBER(G3844),E3844*G3844,"")</f>
        <v/>
      </c>
      <c r="J3844" s="69"/>
      <c r="K3844" s="70"/>
      <c r="L3844" s="174">
        <v>0</v>
      </c>
    </row>
    <row r="3845" spans="1:12" hidden="1" x14ac:dyDescent="0.25">
      <c r="A3845" s="186"/>
      <c r="B3845" s="179"/>
      <c r="C3845" s="25" t="s">
        <v>36</v>
      </c>
      <c r="D3845" s="25" t="s">
        <v>21</v>
      </c>
      <c r="E3845" s="26">
        <v>0.35</v>
      </c>
      <c r="F3845" s="27" t="s">
        <v>17</v>
      </c>
      <c r="G3845" s="46">
        <v>19.142499999999998</v>
      </c>
      <c r="H3845" s="27" t="s">
        <v>37</v>
      </c>
      <c r="I3845" s="46">
        <f>IF(ISNUMBER(G3845),E3845*G3845,"")</f>
        <v>6.6998749999999987</v>
      </c>
      <c r="J3845" s="28">
        <f>SUM(I3845:I3849)</f>
        <v>22.734164999999997</v>
      </c>
      <c r="K3845" s="29"/>
      <c r="L3845" s="174">
        <v>0</v>
      </c>
    </row>
    <row r="3846" spans="1:12" hidden="1" x14ac:dyDescent="0.25">
      <c r="A3846" s="186"/>
      <c r="B3846" s="179"/>
      <c r="C3846" s="25" t="s">
        <v>38</v>
      </c>
      <c r="D3846" s="25" t="s">
        <v>21</v>
      </c>
      <c r="E3846" s="26">
        <v>0.35</v>
      </c>
      <c r="F3846" s="27" t="s">
        <v>17</v>
      </c>
      <c r="G3846" s="46">
        <v>14.325999999999999</v>
      </c>
      <c r="H3846" s="27" t="s">
        <v>39</v>
      </c>
      <c r="I3846" s="46">
        <f>IF(ISNUMBER(G3846),E3846*G3846,"")</f>
        <v>5.0140999999999991</v>
      </c>
      <c r="J3846" s="69"/>
      <c r="K3846" s="70"/>
      <c r="L3846" s="174">
        <v>0</v>
      </c>
    </row>
    <row r="3847" spans="1:12" ht="25.5" hidden="1" x14ac:dyDescent="0.25">
      <c r="A3847" s="186"/>
      <c r="B3847" s="179"/>
      <c r="C3847" s="25" t="s">
        <v>2232</v>
      </c>
      <c r="D3847" s="25" t="s">
        <v>208</v>
      </c>
      <c r="E3847" s="26">
        <v>0.1</v>
      </c>
      <c r="F3847" s="27" t="s">
        <v>17</v>
      </c>
      <c r="G3847" s="46">
        <v>98.714499999999987</v>
      </c>
      <c r="H3847" s="27" t="s">
        <v>2233</v>
      </c>
      <c r="I3847" s="46">
        <f>IF(ISNUMBER(G3847),E3847*G3847,"")</f>
        <v>9.8714499999999994</v>
      </c>
      <c r="J3847" s="69"/>
      <c r="K3847" s="70"/>
      <c r="L3847" s="174">
        <v>0</v>
      </c>
    </row>
    <row r="3848" spans="1:12" hidden="1" x14ac:dyDescent="0.25">
      <c r="A3848" s="186"/>
      <c r="B3848" s="179"/>
      <c r="C3848" s="25" t="s">
        <v>1899</v>
      </c>
      <c r="D3848" s="25" t="s">
        <v>184</v>
      </c>
      <c r="E3848" s="26">
        <v>1</v>
      </c>
      <c r="F3848" s="27" t="s">
        <v>17</v>
      </c>
      <c r="G3848" s="46">
        <v>0</v>
      </c>
      <c r="H3848" s="27" t="s">
        <v>1900</v>
      </c>
      <c r="I3848" s="46">
        <f>IF(ISNUMBER(G3848),E3848*G3848,"")</f>
        <v>0</v>
      </c>
      <c r="J3848" s="69"/>
      <c r="K3848" s="70"/>
      <c r="L3848" s="174">
        <v>0</v>
      </c>
    </row>
    <row r="3849" spans="1:12" ht="25.5" hidden="1" x14ac:dyDescent="0.25">
      <c r="A3849" s="186"/>
      <c r="B3849" s="179"/>
      <c r="C3849" s="25" t="s">
        <v>1488</v>
      </c>
      <c r="D3849" s="25" t="s">
        <v>75</v>
      </c>
      <c r="E3849" s="26">
        <f>1*0.02*2</f>
        <v>0.04</v>
      </c>
      <c r="F3849" s="27" t="s">
        <v>17</v>
      </c>
      <c r="G3849" s="46">
        <v>28.718499999999999</v>
      </c>
      <c r="H3849" s="27" t="s">
        <v>1489</v>
      </c>
      <c r="I3849" s="46">
        <f>IF(ISNUMBER(G3849),E3849*G3849,"")</f>
        <v>1.1487399999999999</v>
      </c>
      <c r="J3849" s="69"/>
      <c r="K3849" s="70"/>
      <c r="L3849" s="174">
        <v>0</v>
      </c>
    </row>
    <row r="3850" spans="1:12" ht="15.75" hidden="1" thickBot="1" x14ac:dyDescent="0.3">
      <c r="A3850" s="187"/>
      <c r="B3850" s="183"/>
      <c r="C3850" s="47"/>
      <c r="D3850" s="47"/>
      <c r="E3850" s="60"/>
      <c r="F3850" s="61"/>
      <c r="G3850" s="73" t="s">
        <v>1079</v>
      </c>
      <c r="H3850" s="61"/>
      <c r="I3850" s="73" t="str">
        <f>IF(ISNUMBER(G3850),E3850*G3850,"")</f>
        <v/>
      </c>
      <c r="J3850" s="75"/>
      <c r="K3850" s="70"/>
      <c r="L3850" s="174">
        <v>0</v>
      </c>
    </row>
    <row r="3851" spans="1:12" ht="15.75" hidden="1" thickBot="1" x14ac:dyDescent="0.3">
      <c r="A3851" s="180" t="s">
        <v>2234</v>
      </c>
      <c r="B3851" s="178" t="str">
        <f>INDEX(Orçamentária!A:B,MATCH(Composições!A3851,Orçamentária!A:A,0),2)</f>
        <v>Recuperação superficial de preparação para pintura epóxi de alto desempenho</v>
      </c>
      <c r="C3851" s="30"/>
      <c r="D3851" s="13" t="str">
        <f>TRIM(INDEX(Orçamentária!C:C,MATCH(Composições!A3851,Orçamentária!A:A,0),1))</f>
        <v>m2</v>
      </c>
      <c r="E3851" s="14"/>
      <c r="F3851" s="15" t="s">
        <v>2235</v>
      </c>
      <c r="G3851" s="40" t="s">
        <v>1079</v>
      </c>
      <c r="H3851" s="16"/>
      <c r="I3851" s="16" t="str">
        <f>IF(ISNUMBER(G3851),E3851*G3851,"")</f>
        <v/>
      </c>
      <c r="J3851" s="17"/>
      <c r="K3851" s="18"/>
      <c r="L3851" s="174">
        <v>0</v>
      </c>
    </row>
    <row r="3852" spans="1:12" hidden="1" x14ac:dyDescent="0.25">
      <c r="A3852" s="186"/>
      <c r="B3852" s="179"/>
      <c r="C3852" s="20"/>
      <c r="D3852" s="20"/>
      <c r="E3852" s="21"/>
      <c r="F3852" s="22"/>
      <c r="G3852" s="46" t="s">
        <v>1079</v>
      </c>
      <c r="H3852" s="20"/>
      <c r="I3852" s="46" t="str">
        <f>IF(ISNUMBER(G3852),E3852*G3852,"")</f>
        <v/>
      </c>
      <c r="J3852" s="69"/>
      <c r="K3852" s="70"/>
      <c r="L3852" s="174">
        <v>0</v>
      </c>
    </row>
    <row r="3853" spans="1:12" hidden="1" x14ac:dyDescent="0.25">
      <c r="A3853" s="186"/>
      <c r="B3853" s="179"/>
      <c r="C3853" s="25" t="s">
        <v>36</v>
      </c>
      <c r="D3853" s="25" t="s">
        <v>21</v>
      </c>
      <c r="E3853" s="26">
        <v>0.3</v>
      </c>
      <c r="F3853" s="27" t="s">
        <v>2236</v>
      </c>
      <c r="G3853" s="46">
        <v>19.142499999999998</v>
      </c>
      <c r="H3853" s="27" t="s">
        <v>37</v>
      </c>
      <c r="I3853" s="46">
        <f>IF(ISNUMBER(G3853),E3853*G3853,"")</f>
        <v>5.7427499999999991</v>
      </c>
      <c r="J3853" s="28">
        <f>SUM(I3853:I3859)</f>
        <v>14.525499999999997</v>
      </c>
      <c r="K3853" s="29"/>
      <c r="L3853" s="174">
        <v>0</v>
      </c>
    </row>
    <row r="3854" spans="1:12" hidden="1" x14ac:dyDescent="0.25">
      <c r="A3854" s="186"/>
      <c r="B3854" s="179"/>
      <c r="C3854" s="25" t="s">
        <v>38</v>
      </c>
      <c r="D3854" s="25" t="s">
        <v>21</v>
      </c>
      <c r="E3854" s="26">
        <f>0.3+0.25</f>
        <v>0.55000000000000004</v>
      </c>
      <c r="F3854" s="27" t="s">
        <v>2236</v>
      </c>
      <c r="G3854" s="46">
        <v>14.325999999999999</v>
      </c>
      <c r="H3854" s="27" t="s">
        <v>39</v>
      </c>
      <c r="I3854" s="46">
        <f>IF(ISNUMBER(G3854),E3854*G3854,"")</f>
        <v>7.8792999999999997</v>
      </c>
      <c r="J3854" s="69"/>
      <c r="K3854" s="70"/>
      <c r="L3854" s="174">
        <v>0</v>
      </c>
    </row>
    <row r="3855" spans="1:12" hidden="1" x14ac:dyDescent="0.25">
      <c r="A3855" s="186"/>
      <c r="B3855" s="179"/>
      <c r="C3855" s="25" t="s">
        <v>528</v>
      </c>
      <c r="D3855" s="25" t="s">
        <v>75</v>
      </c>
      <c r="E3855" s="26">
        <v>0.3</v>
      </c>
      <c r="F3855" s="27" t="s">
        <v>2236</v>
      </c>
      <c r="G3855" s="46">
        <v>2.2515000000000001</v>
      </c>
      <c r="H3855" s="27" t="s">
        <v>530</v>
      </c>
      <c r="I3855" s="46">
        <f>IF(ISNUMBER(G3855),E3855*G3855,"")</f>
        <v>0.67544999999999999</v>
      </c>
      <c r="J3855" s="69"/>
      <c r="K3855" s="70"/>
      <c r="L3855" s="174">
        <v>0</v>
      </c>
    </row>
    <row r="3856" spans="1:12" hidden="1" x14ac:dyDescent="0.25">
      <c r="A3856" s="186"/>
      <c r="B3856" s="179"/>
      <c r="C3856" s="25" t="s">
        <v>1448</v>
      </c>
      <c r="D3856" s="25" t="s">
        <v>75</v>
      </c>
      <c r="E3856" s="26">
        <v>0.6</v>
      </c>
      <c r="F3856" s="27" t="s">
        <v>2236</v>
      </c>
      <c r="G3856" s="46">
        <v>0.38</v>
      </c>
      <c r="H3856" s="27" t="s">
        <v>242</v>
      </c>
      <c r="I3856" s="46">
        <f>IF(ISNUMBER(G3856),E3856*G3856,"")</f>
        <v>0.22799999999999998</v>
      </c>
      <c r="J3856" s="69"/>
      <c r="K3856" s="70"/>
      <c r="L3856" s="174">
        <v>0</v>
      </c>
    </row>
    <row r="3857" spans="1:12" hidden="1" x14ac:dyDescent="0.25">
      <c r="A3857" s="186"/>
      <c r="B3857" s="179"/>
      <c r="C3857" s="25" t="s">
        <v>2237</v>
      </c>
      <c r="D3857" s="25" t="s">
        <v>75</v>
      </c>
      <c r="E3857" s="26">
        <v>0.3</v>
      </c>
      <c r="F3857" s="27" t="s">
        <v>2236</v>
      </c>
      <c r="G3857" s="46">
        <v>0</v>
      </c>
      <c r="H3857" s="27" t="s">
        <v>2238</v>
      </c>
      <c r="I3857" s="46">
        <f>IF(ISNUMBER(G3857),E3857*G3857,"")</f>
        <v>0</v>
      </c>
      <c r="J3857" s="69"/>
      <c r="K3857" s="70"/>
      <c r="L3857" s="174">
        <v>0</v>
      </c>
    </row>
    <row r="3858" spans="1:12" hidden="1" x14ac:dyDescent="0.25">
      <c r="A3858" s="186"/>
      <c r="B3858" s="179"/>
      <c r="C3858" s="25" t="s">
        <v>2239</v>
      </c>
      <c r="D3858" s="25" t="s">
        <v>208</v>
      </c>
      <c r="E3858" s="26">
        <v>0.15</v>
      </c>
      <c r="F3858" s="27" t="s">
        <v>2236</v>
      </c>
      <c r="G3858" s="46">
        <v>0</v>
      </c>
      <c r="H3858" s="27" t="s">
        <v>2238</v>
      </c>
      <c r="I3858" s="46">
        <f>IF(ISNUMBER(G3858),E3858*G3858,"")</f>
        <v>0</v>
      </c>
      <c r="J3858" s="69"/>
      <c r="K3858" s="70"/>
      <c r="L3858" s="174">
        <v>0</v>
      </c>
    </row>
    <row r="3859" spans="1:12" hidden="1" x14ac:dyDescent="0.25">
      <c r="A3859" s="186"/>
      <c r="B3859" s="179"/>
      <c r="C3859" s="25" t="s">
        <v>2240</v>
      </c>
      <c r="D3859" s="25" t="s">
        <v>588</v>
      </c>
      <c r="E3859" s="26">
        <v>0.5</v>
      </c>
      <c r="F3859" s="27" t="s">
        <v>2236</v>
      </c>
      <c r="G3859" s="46">
        <v>0</v>
      </c>
      <c r="H3859" s="27" t="s">
        <v>2241</v>
      </c>
      <c r="I3859" s="46">
        <f>IF(ISNUMBER(G3859),E3859*G3859,"")</f>
        <v>0</v>
      </c>
      <c r="J3859" s="69"/>
      <c r="K3859" s="70"/>
      <c r="L3859" s="174">
        <v>0</v>
      </c>
    </row>
    <row r="3860" spans="1:12" hidden="1" x14ac:dyDescent="0.25">
      <c r="A3860" s="186"/>
      <c r="B3860" s="179"/>
      <c r="C3860" s="25"/>
      <c r="D3860" s="25"/>
      <c r="E3860" s="26"/>
      <c r="F3860" s="27"/>
      <c r="G3860" s="46" t="s">
        <v>1079</v>
      </c>
      <c r="H3860" s="27"/>
      <c r="I3860" s="46" t="str">
        <f>IF(ISNUMBER(G3860),E3860*G3860,"")</f>
        <v/>
      </c>
      <c r="J3860" s="69"/>
      <c r="K3860" s="70"/>
      <c r="L3860" s="174">
        <v>0</v>
      </c>
    </row>
    <row r="3861" spans="1:12" hidden="1" x14ac:dyDescent="0.25">
      <c r="A3861" s="186"/>
      <c r="B3861" s="179"/>
      <c r="C3861" s="25" t="s">
        <v>2242</v>
      </c>
      <c r="D3861" s="25"/>
      <c r="E3861" s="26"/>
      <c r="F3861" s="27"/>
      <c r="G3861" s="46" t="s">
        <v>1079</v>
      </c>
      <c r="H3861" s="27"/>
      <c r="I3861" s="46" t="str">
        <f>IF(ISNUMBER(G3861),E3861*G3861,"")</f>
        <v/>
      </c>
      <c r="J3861" s="69"/>
      <c r="K3861" s="70"/>
      <c r="L3861" s="174">
        <v>0</v>
      </c>
    </row>
    <row r="3862" spans="1:12" ht="15.75" hidden="1" thickBot="1" x14ac:dyDescent="0.3">
      <c r="A3862" s="187"/>
      <c r="B3862" s="183"/>
      <c r="C3862" s="47"/>
      <c r="D3862" s="47"/>
      <c r="E3862" s="60"/>
      <c r="F3862" s="61"/>
      <c r="G3862" s="46" t="s">
        <v>1079</v>
      </c>
      <c r="H3862" s="27"/>
      <c r="I3862" s="46" t="str">
        <f>IF(ISNUMBER(G3862),E3862*G3862,"")</f>
        <v/>
      </c>
      <c r="J3862" s="75"/>
      <c r="K3862" s="70"/>
      <c r="L3862" s="174">
        <v>0</v>
      </c>
    </row>
    <row r="3863" spans="1:12" ht="15.75" hidden="1" thickBot="1" x14ac:dyDescent="0.3">
      <c r="A3863" s="180" t="s">
        <v>2243</v>
      </c>
      <c r="B3863" s="178" t="str">
        <f>INDEX(Orçamentária!A:B,MATCH(Composições!A3863,Orçamentária!A:A,0),2)</f>
        <v>Lixamento, calafetação e aplicação de sinteco em piso de madeira - Linha Residencial</v>
      </c>
      <c r="C3863" s="30"/>
      <c r="D3863" s="13" t="str">
        <f>TRIM(INDEX(Orçamentária!C:C,MATCH(Composições!A3863,Orçamentária!A:A,0),1))</f>
        <v>m2</v>
      </c>
      <c r="E3863" s="14"/>
      <c r="F3863" s="71" t="s">
        <v>2244</v>
      </c>
      <c r="G3863" s="40" t="s">
        <v>1079</v>
      </c>
      <c r="H3863" s="16"/>
      <c r="I3863" s="16" t="str">
        <f>IF(ISNUMBER(G3863),E3863*G3863,"")</f>
        <v/>
      </c>
      <c r="J3863" s="17"/>
      <c r="K3863" s="18"/>
      <c r="L3863" s="174">
        <v>0</v>
      </c>
    </row>
    <row r="3864" spans="1:12" hidden="1" x14ac:dyDescent="0.25">
      <c r="A3864" s="186"/>
      <c r="B3864" s="179"/>
      <c r="C3864" s="20"/>
      <c r="D3864" s="20"/>
      <c r="E3864" s="21"/>
      <c r="F3864" s="22"/>
      <c r="G3864" s="46" t="s">
        <v>1079</v>
      </c>
      <c r="H3864" s="20"/>
      <c r="I3864" s="46" t="str">
        <f>IF(ISNUMBER(G3864),E3864*G3864,"")</f>
        <v/>
      </c>
      <c r="J3864" s="69"/>
      <c r="K3864" s="70"/>
      <c r="L3864" s="174">
        <v>0</v>
      </c>
    </row>
    <row r="3865" spans="1:12" ht="25.5" hidden="1" x14ac:dyDescent="0.25">
      <c r="A3865" s="186"/>
      <c r="B3865" s="179"/>
      <c r="C3865" s="25" t="s">
        <v>2245</v>
      </c>
      <c r="D3865" s="25" t="s">
        <v>189</v>
      </c>
      <c r="E3865" s="26">
        <v>1</v>
      </c>
      <c r="F3865" s="26" t="s">
        <v>2244</v>
      </c>
      <c r="G3865" s="46">
        <v>0</v>
      </c>
      <c r="H3865" s="26" t="s">
        <v>2246</v>
      </c>
      <c r="I3865" s="46">
        <f>IF(ISNUMBER(G3865),E3865*G3865,"")</f>
        <v>0</v>
      </c>
      <c r="J3865" s="28">
        <f>SUM(I3865:I3865)</f>
        <v>0</v>
      </c>
      <c r="K3865" s="29"/>
      <c r="L3865" s="174">
        <v>0</v>
      </c>
    </row>
    <row r="3866" spans="1:12" ht="15.75" hidden="1" thickBot="1" x14ac:dyDescent="0.3">
      <c r="A3866" s="187"/>
      <c r="B3866" s="183"/>
      <c r="C3866" s="47"/>
      <c r="D3866" s="47"/>
      <c r="E3866" s="60"/>
      <c r="F3866" s="61"/>
      <c r="G3866" s="73" t="s">
        <v>1079</v>
      </c>
      <c r="H3866" s="61"/>
      <c r="I3866" s="73" t="str">
        <f>IF(ISNUMBER(G3866),E3866*G3866,"")</f>
        <v/>
      </c>
      <c r="J3866" s="75"/>
      <c r="K3866" s="70"/>
      <c r="L3866" s="174">
        <v>0</v>
      </c>
    </row>
    <row r="3867" spans="1:12" ht="15.75" hidden="1" thickBot="1" x14ac:dyDescent="0.3">
      <c r="A3867" s="180" t="s">
        <v>2247</v>
      </c>
      <c r="B3867" s="178" t="str">
        <f>INDEX(Orçamentária!A:B,MATCH(Composições!A3867,Orçamentária!A:A,0),2)</f>
        <v>Piso em taco de madeira - Linha Residencial</v>
      </c>
      <c r="C3867" s="30"/>
      <c r="D3867" s="13" t="str">
        <f>TRIM(INDEX(Orçamentária!C:C,MATCH(Composições!A3867,Orçamentária!A:A,0),1))</f>
        <v>m2</v>
      </c>
      <c r="E3867" s="14"/>
      <c r="F3867" s="15" t="s">
        <v>2248</v>
      </c>
      <c r="G3867" s="40" t="s">
        <v>1079</v>
      </c>
      <c r="H3867" s="16"/>
      <c r="I3867" s="16" t="str">
        <f>IF(ISNUMBER(G3867),E3867*G3867,"")</f>
        <v/>
      </c>
      <c r="J3867" s="17"/>
      <c r="K3867" s="18"/>
      <c r="L3867" s="174">
        <v>0</v>
      </c>
    </row>
    <row r="3868" spans="1:12" hidden="1" x14ac:dyDescent="0.25">
      <c r="A3868" s="186"/>
      <c r="B3868" s="179"/>
      <c r="C3868" s="20"/>
      <c r="D3868" s="20"/>
      <c r="E3868" s="21"/>
      <c r="F3868" s="22"/>
      <c r="G3868" s="46" t="s">
        <v>1079</v>
      </c>
      <c r="H3868" s="20"/>
      <c r="I3868" s="46" t="str">
        <f>IF(ISNUMBER(G3868),E3868*G3868,"")</f>
        <v/>
      </c>
      <c r="J3868" s="69"/>
      <c r="K3868" s="70"/>
      <c r="L3868" s="174">
        <v>0</v>
      </c>
    </row>
    <row r="3869" spans="1:12" ht="25.5" hidden="1" x14ac:dyDescent="0.25">
      <c r="A3869" s="186"/>
      <c r="B3869" s="179"/>
      <c r="C3869" s="25" t="s">
        <v>2249</v>
      </c>
      <c r="D3869" s="36" t="s">
        <v>1795</v>
      </c>
      <c r="E3869" s="26">
        <v>1.05</v>
      </c>
      <c r="F3869" s="27" t="s">
        <v>2248</v>
      </c>
      <c r="G3869" s="46">
        <v>100.624</v>
      </c>
      <c r="H3869" s="27" t="s">
        <v>2250</v>
      </c>
      <c r="I3869" s="46">
        <f>IF(ISNUMBER(G3869),E3869*G3869,"")</f>
        <v>105.65519999999999</v>
      </c>
      <c r="J3869" s="28">
        <f>SUM(I3869:I3872)</f>
        <v>128.82</v>
      </c>
      <c r="K3869" s="29"/>
      <c r="L3869" s="174">
        <v>0</v>
      </c>
    </row>
    <row r="3870" spans="1:12" hidden="1" x14ac:dyDescent="0.25">
      <c r="A3870" s="186"/>
      <c r="B3870" s="179"/>
      <c r="C3870" s="25" t="s">
        <v>2251</v>
      </c>
      <c r="D3870" s="36" t="s">
        <v>208</v>
      </c>
      <c r="E3870" s="26">
        <v>0.5</v>
      </c>
      <c r="F3870" s="27" t="s">
        <v>2248</v>
      </c>
      <c r="G3870" s="46">
        <v>16.548999999999999</v>
      </c>
      <c r="H3870" s="27" t="s">
        <v>2252</v>
      </c>
      <c r="I3870" s="46">
        <f>IF(ISNUMBER(G3870),E3870*G3870,"")</f>
        <v>8.2744999999999997</v>
      </c>
      <c r="J3870" s="69"/>
      <c r="K3870" s="70"/>
      <c r="L3870" s="174">
        <v>0</v>
      </c>
    </row>
    <row r="3871" spans="1:12" hidden="1" x14ac:dyDescent="0.25">
      <c r="A3871" s="186"/>
      <c r="B3871" s="179"/>
      <c r="C3871" s="25" t="s">
        <v>1367</v>
      </c>
      <c r="D3871" s="25" t="s">
        <v>1366</v>
      </c>
      <c r="E3871" s="26">
        <v>0.5</v>
      </c>
      <c r="F3871" s="27" t="s">
        <v>2248</v>
      </c>
      <c r="G3871" s="46">
        <v>14.325999999999999</v>
      </c>
      <c r="H3871" s="27" t="s">
        <v>39</v>
      </c>
      <c r="I3871" s="46">
        <f>IF(ISNUMBER(G3871),E3871*G3871,"")</f>
        <v>7.1629999999999994</v>
      </c>
      <c r="J3871" s="69"/>
      <c r="K3871" s="70"/>
      <c r="L3871" s="174">
        <v>0</v>
      </c>
    </row>
    <row r="3872" spans="1:12" hidden="1" x14ac:dyDescent="0.25">
      <c r="A3872" s="186"/>
      <c r="B3872" s="179"/>
      <c r="C3872" s="25" t="s">
        <v>2207</v>
      </c>
      <c r="D3872" s="25" t="s">
        <v>1366</v>
      </c>
      <c r="E3872" s="26">
        <v>0.35</v>
      </c>
      <c r="F3872" s="27" t="s">
        <v>2248</v>
      </c>
      <c r="G3872" s="46">
        <v>22.077999999999996</v>
      </c>
      <c r="H3872" s="27" t="s">
        <v>2208</v>
      </c>
      <c r="I3872" s="46">
        <f>IF(ISNUMBER(G3872),E3872*G3872,"")</f>
        <v>7.7272999999999978</v>
      </c>
      <c r="J3872" s="69"/>
      <c r="K3872" s="70"/>
      <c r="L3872" s="174">
        <v>0</v>
      </c>
    </row>
    <row r="3873" spans="1:12" ht="15.75" hidden="1" thickBot="1" x14ac:dyDescent="0.3">
      <c r="A3873" s="186"/>
      <c r="B3873" s="179"/>
      <c r="C3873" s="47"/>
      <c r="D3873" s="47"/>
      <c r="E3873" s="60"/>
      <c r="F3873" s="61"/>
      <c r="G3873" s="73" t="s">
        <v>1079</v>
      </c>
      <c r="H3873" s="61"/>
      <c r="I3873" s="73" t="str">
        <f>IF(ISNUMBER(G3873),E3873*G3873,"")</f>
        <v/>
      </c>
      <c r="J3873" s="75"/>
      <c r="K3873" s="70"/>
      <c r="L3873" s="174">
        <v>0</v>
      </c>
    </row>
    <row r="3874" spans="1:12" ht="15.75" hidden="1" thickBot="1" x14ac:dyDescent="0.3">
      <c r="A3874" s="180" t="s">
        <v>2253</v>
      </c>
      <c r="B3874" s="178" t="str">
        <f>INDEX(Orçamentária!A:B,MATCH(Composições!A3874,Orçamentária!A:A,0),2)</f>
        <v>Piso de borracha antiderrapante tipo moeda</v>
      </c>
      <c r="C3874" s="30"/>
      <c r="D3874" s="13" t="str">
        <f>TRIM(INDEX(Orçamentária!C:C,MATCH(Composições!A3874,Orçamentária!A:A,0),1))</f>
        <v>m2</v>
      </c>
      <c r="E3874" s="14"/>
      <c r="F3874" s="15" t="s">
        <v>2254</v>
      </c>
      <c r="G3874" s="40" t="s">
        <v>1079</v>
      </c>
      <c r="H3874" s="16"/>
      <c r="I3874" s="16" t="str">
        <f>IF(ISNUMBER(G3874),E3874*G3874,"")</f>
        <v/>
      </c>
      <c r="J3874" s="17"/>
      <c r="K3874" s="18"/>
      <c r="L3874" s="174">
        <v>0</v>
      </c>
    </row>
    <row r="3875" spans="1:12" hidden="1" x14ac:dyDescent="0.25">
      <c r="A3875" s="186"/>
      <c r="B3875" s="179"/>
      <c r="C3875" s="20"/>
      <c r="D3875" s="20"/>
      <c r="E3875" s="21"/>
      <c r="F3875" s="22"/>
      <c r="G3875" s="46" t="s">
        <v>1079</v>
      </c>
      <c r="H3875" s="20"/>
      <c r="I3875" s="46" t="str">
        <f>IF(ISNUMBER(G3875),E3875*G3875,"")</f>
        <v/>
      </c>
      <c r="J3875" s="69"/>
      <c r="K3875" s="70"/>
      <c r="L3875" s="174">
        <v>0</v>
      </c>
    </row>
    <row r="3876" spans="1:12" hidden="1" x14ac:dyDescent="0.25">
      <c r="A3876" s="186"/>
      <c r="B3876" s="179"/>
      <c r="C3876" s="25" t="s">
        <v>601</v>
      </c>
      <c r="D3876" s="36" t="s">
        <v>1629</v>
      </c>
      <c r="E3876" s="26">
        <v>0.37</v>
      </c>
      <c r="F3876" s="27" t="s">
        <v>2254</v>
      </c>
      <c r="G3876" s="46">
        <v>24.101500000000001</v>
      </c>
      <c r="H3876" s="27" t="s">
        <v>602</v>
      </c>
      <c r="I3876" s="46">
        <f>IF(ISNUMBER(G3876),E3876*G3876,"")</f>
        <v>8.9175550000000001</v>
      </c>
      <c r="J3876" s="28">
        <f>SUM(I3876:I3879)</f>
        <v>174.06469999999996</v>
      </c>
      <c r="K3876" s="29"/>
      <c r="L3876" s="174">
        <v>0</v>
      </c>
    </row>
    <row r="3877" spans="1:12" ht="25.5" hidden="1" x14ac:dyDescent="0.25">
      <c r="A3877" s="186"/>
      <c r="B3877" s="179"/>
      <c r="C3877" s="25" t="s">
        <v>2255</v>
      </c>
      <c r="D3877" s="36" t="s">
        <v>1795</v>
      </c>
      <c r="E3877" s="26">
        <v>1</v>
      </c>
      <c r="F3877" s="27" t="s">
        <v>2254</v>
      </c>
      <c r="G3877" s="46">
        <v>159.45749999999998</v>
      </c>
      <c r="H3877" s="27" t="s">
        <v>2256</v>
      </c>
      <c r="I3877" s="46">
        <f>IF(ISNUMBER(G3877),E3877*G3877,"")</f>
        <v>159.45749999999998</v>
      </c>
      <c r="J3877" s="69"/>
      <c r="K3877" s="70"/>
      <c r="L3877" s="174">
        <v>0</v>
      </c>
    </row>
    <row r="3878" spans="1:12" hidden="1" x14ac:dyDescent="0.25">
      <c r="A3878" s="186"/>
      <c r="B3878" s="179"/>
      <c r="C3878" s="25" t="s">
        <v>1389</v>
      </c>
      <c r="D3878" s="25" t="s">
        <v>1366</v>
      </c>
      <c r="E3878" s="26">
        <v>0.17</v>
      </c>
      <c r="F3878" s="27" t="s">
        <v>2254</v>
      </c>
      <c r="G3878" s="46">
        <v>19.142499999999998</v>
      </c>
      <c r="H3878" s="27" t="s">
        <v>37</v>
      </c>
      <c r="I3878" s="46">
        <f>IF(ISNUMBER(G3878),E3878*G3878,"")</f>
        <v>3.2542249999999999</v>
      </c>
      <c r="J3878" s="69"/>
      <c r="K3878" s="70"/>
      <c r="L3878" s="174">
        <v>0</v>
      </c>
    </row>
    <row r="3879" spans="1:12" hidden="1" x14ac:dyDescent="0.25">
      <c r="A3879" s="186"/>
      <c r="B3879" s="179"/>
      <c r="C3879" s="25" t="s">
        <v>1367</v>
      </c>
      <c r="D3879" s="25" t="s">
        <v>1366</v>
      </c>
      <c r="E3879" s="26">
        <v>0.17</v>
      </c>
      <c r="F3879" s="27" t="s">
        <v>2254</v>
      </c>
      <c r="G3879" s="46">
        <v>14.325999999999999</v>
      </c>
      <c r="H3879" s="27" t="s">
        <v>39</v>
      </c>
      <c r="I3879" s="46">
        <f>IF(ISNUMBER(G3879),E3879*G3879,"")</f>
        <v>2.4354200000000001</v>
      </c>
      <c r="J3879" s="69"/>
      <c r="K3879" s="70"/>
      <c r="L3879" s="174">
        <v>0</v>
      </c>
    </row>
    <row r="3880" spans="1:12" ht="15.75" hidden="1" thickBot="1" x14ac:dyDescent="0.3">
      <c r="A3880" s="186"/>
      <c r="B3880" s="179"/>
      <c r="C3880" s="47"/>
      <c r="D3880" s="47"/>
      <c r="E3880" s="60"/>
      <c r="F3880" s="61"/>
      <c r="G3880" s="73" t="s">
        <v>1079</v>
      </c>
      <c r="H3880" s="61"/>
      <c r="I3880" s="73" t="str">
        <f>IF(ISNUMBER(G3880),E3880*G3880,"")</f>
        <v/>
      </c>
      <c r="J3880" s="75"/>
      <c r="K3880" s="70"/>
      <c r="L3880" s="174">
        <v>0</v>
      </c>
    </row>
    <row r="3881" spans="1:12" ht="15.75" hidden="1" thickBot="1" x14ac:dyDescent="0.3">
      <c r="A3881" s="180" t="s">
        <v>2257</v>
      </c>
      <c r="B3881" s="178" t="str">
        <f>INDEX(Orçamentária!A:B,MATCH(Composições!A3881,Orçamentária!A:A,0),2)</f>
        <v>Piso sintético flutuante - Linha Residencial</v>
      </c>
      <c r="C3881" s="30"/>
      <c r="D3881" s="13" t="str">
        <f>TRIM(INDEX(Orçamentária!C:C,MATCH(Composições!A3881,Orçamentária!A:A,0),1))</f>
        <v>m2</v>
      </c>
      <c r="E3881" s="14"/>
      <c r="F3881" s="15" t="s">
        <v>17</v>
      </c>
      <c r="G3881" s="40" t="s">
        <v>1079</v>
      </c>
      <c r="H3881" s="16"/>
      <c r="I3881" s="16" t="str">
        <f>IF(ISNUMBER(G3881),E3881*G3881,"")</f>
        <v/>
      </c>
      <c r="J3881" s="17"/>
      <c r="K3881" s="18"/>
      <c r="L3881" s="174">
        <v>0</v>
      </c>
    </row>
    <row r="3882" spans="1:12" hidden="1" x14ac:dyDescent="0.25">
      <c r="A3882" s="186"/>
      <c r="B3882" s="179"/>
      <c r="C3882" s="20"/>
      <c r="D3882" s="20"/>
      <c r="E3882" s="21"/>
      <c r="F3882" s="22"/>
      <c r="G3882" s="46" t="s">
        <v>1079</v>
      </c>
      <c r="H3882" s="20"/>
      <c r="I3882" s="46" t="str">
        <f>IF(ISNUMBER(G3882),E3882*G3882,"")</f>
        <v/>
      </c>
      <c r="J3882" s="69"/>
      <c r="K3882" s="70"/>
      <c r="L3882" s="174">
        <v>0</v>
      </c>
    </row>
    <row r="3883" spans="1:12" ht="25.5" hidden="1" x14ac:dyDescent="0.25">
      <c r="A3883" s="186"/>
      <c r="B3883" s="179"/>
      <c r="C3883" s="25" t="s">
        <v>2258</v>
      </c>
      <c r="D3883" s="36" t="s">
        <v>1795</v>
      </c>
      <c r="E3883" s="26">
        <v>1.05</v>
      </c>
      <c r="F3883" s="27" t="s">
        <v>17</v>
      </c>
      <c r="G3883" s="46" t="s">
        <v>1079</v>
      </c>
      <c r="H3883" s="27" t="s">
        <v>33</v>
      </c>
      <c r="I3883" s="46" t="str">
        <f>IF(ISNUMBER(G3883),E3883*G3883,"")</f>
        <v/>
      </c>
      <c r="J3883" s="28">
        <f>SUM(I3883:I3885)</f>
        <v>14.890299999999996</v>
      </c>
      <c r="K3883" s="29"/>
      <c r="L3883" s="174">
        <v>0</v>
      </c>
    </row>
    <row r="3884" spans="1:12" hidden="1" x14ac:dyDescent="0.25">
      <c r="A3884" s="186"/>
      <c r="B3884" s="179"/>
      <c r="C3884" s="25" t="s">
        <v>1367</v>
      </c>
      <c r="D3884" s="25" t="s">
        <v>1366</v>
      </c>
      <c r="E3884" s="26">
        <v>0.5</v>
      </c>
      <c r="F3884" s="27" t="s">
        <v>2248</v>
      </c>
      <c r="G3884" s="46">
        <v>14.325999999999999</v>
      </c>
      <c r="H3884" s="27" t="s">
        <v>39</v>
      </c>
      <c r="I3884" s="46">
        <f>IF(ISNUMBER(G3884),E3884*G3884,"")</f>
        <v>7.1629999999999994</v>
      </c>
      <c r="J3884" s="69"/>
      <c r="K3884" s="70"/>
      <c r="L3884" s="174">
        <v>0</v>
      </c>
    </row>
    <row r="3885" spans="1:12" hidden="1" x14ac:dyDescent="0.25">
      <c r="A3885" s="186"/>
      <c r="B3885" s="179"/>
      <c r="C3885" s="25" t="s">
        <v>2207</v>
      </c>
      <c r="D3885" s="25" t="s">
        <v>1366</v>
      </c>
      <c r="E3885" s="26">
        <v>0.35</v>
      </c>
      <c r="F3885" s="27" t="s">
        <v>2248</v>
      </c>
      <c r="G3885" s="46">
        <v>22.077999999999996</v>
      </c>
      <c r="H3885" s="27" t="s">
        <v>2208</v>
      </c>
      <c r="I3885" s="46">
        <f>IF(ISNUMBER(G3885),E3885*G3885,"")</f>
        <v>7.7272999999999978</v>
      </c>
      <c r="J3885" s="69"/>
      <c r="K3885" s="70"/>
      <c r="L3885" s="174">
        <v>0</v>
      </c>
    </row>
    <row r="3886" spans="1:12" ht="15.75" hidden="1" thickBot="1" x14ac:dyDescent="0.3">
      <c r="A3886" s="186"/>
      <c r="B3886" s="179"/>
      <c r="C3886" s="47"/>
      <c r="D3886" s="47"/>
      <c r="E3886" s="60"/>
      <c r="F3886" s="61"/>
      <c r="G3886" s="73" t="s">
        <v>1079</v>
      </c>
      <c r="H3886" s="61"/>
      <c r="I3886" s="73" t="str">
        <f>IF(ISNUMBER(G3886),E3886*G3886,"")</f>
        <v/>
      </c>
      <c r="J3886" s="75"/>
      <c r="K3886" s="70"/>
      <c r="L3886" s="174">
        <v>0</v>
      </c>
    </row>
    <row r="3887" spans="1:12" ht="15.75" hidden="1" thickBot="1" x14ac:dyDescent="0.3">
      <c r="A3887" s="180" t="s">
        <v>2259</v>
      </c>
      <c r="B3887" s="178" t="str">
        <f>INDEX(Orçamentária!A:B,MATCH(Composições!A3887,Orçamentária!A:A,0),2)</f>
        <v>Revestimento acústico perfilado - Linha Administrativa</v>
      </c>
      <c r="C3887" s="30"/>
      <c r="D3887" s="13" t="str">
        <f>TRIM(INDEX(Orçamentária!C:C,MATCH(Composições!A3887,Orçamentária!A:A,0),1))</f>
        <v>m2</v>
      </c>
      <c r="E3887" s="14"/>
      <c r="F3887" s="71" t="s">
        <v>2260</v>
      </c>
      <c r="G3887" s="40" t="s">
        <v>1079</v>
      </c>
      <c r="H3887" s="16"/>
      <c r="I3887" s="16" t="str">
        <f>IF(ISNUMBER(G3887),E3887*G3887,"")</f>
        <v/>
      </c>
      <c r="J3887" s="17"/>
      <c r="K3887" s="18"/>
      <c r="L3887" s="174">
        <v>0</v>
      </c>
    </row>
    <row r="3888" spans="1:12" hidden="1" x14ac:dyDescent="0.25">
      <c r="A3888" s="186"/>
      <c r="B3888" s="179"/>
      <c r="C3888" s="20"/>
      <c r="D3888" s="20"/>
      <c r="E3888" s="21"/>
      <c r="F3888" s="22"/>
      <c r="G3888" s="46" t="s">
        <v>1079</v>
      </c>
      <c r="H3888" s="20"/>
      <c r="I3888" s="46" t="str">
        <f>IF(ISNUMBER(G3888),E3888*G3888,"")</f>
        <v/>
      </c>
      <c r="J3888" s="69"/>
      <c r="K3888" s="70"/>
      <c r="L3888" s="174">
        <v>0</v>
      </c>
    </row>
    <row r="3889" spans="1:12" ht="25.5" hidden="1" x14ac:dyDescent="0.25">
      <c r="A3889" s="186"/>
      <c r="B3889" s="179"/>
      <c r="C3889" s="25" t="s">
        <v>2261</v>
      </c>
      <c r="D3889" s="25" t="s">
        <v>189</v>
      </c>
      <c r="E3889" s="26">
        <v>1.05</v>
      </c>
      <c r="F3889" s="26" t="s">
        <v>2262</v>
      </c>
      <c r="G3889" s="46" t="s">
        <v>1079</v>
      </c>
      <c r="H3889" s="26" t="s">
        <v>33</v>
      </c>
      <c r="I3889" s="46" t="str">
        <f>IF(ISNUMBER(G3889),E3889*G3889,"")</f>
        <v/>
      </c>
      <c r="J3889" s="28">
        <f>SUM(I3889:I3891)</f>
        <v>7.4089549999999997</v>
      </c>
      <c r="K3889" s="29"/>
      <c r="L3889" s="174">
        <v>0</v>
      </c>
    </row>
    <row r="3890" spans="1:12" hidden="1" x14ac:dyDescent="0.25">
      <c r="A3890" s="186"/>
      <c r="B3890" s="179"/>
      <c r="C3890" s="25" t="s">
        <v>2207</v>
      </c>
      <c r="D3890" s="25" t="s">
        <v>1366</v>
      </c>
      <c r="E3890" s="26">
        <v>0.15</v>
      </c>
      <c r="F3890" s="26" t="s">
        <v>2262</v>
      </c>
      <c r="G3890" s="46">
        <v>22.077999999999996</v>
      </c>
      <c r="H3890" s="27" t="s">
        <v>2208</v>
      </c>
      <c r="I3890" s="46">
        <f>IF(ISNUMBER(G3890),E3890*G3890,"")</f>
        <v>3.3116999999999992</v>
      </c>
      <c r="J3890" s="69"/>
      <c r="K3890" s="70"/>
      <c r="L3890" s="174">
        <v>0</v>
      </c>
    </row>
    <row r="3891" spans="1:12" hidden="1" x14ac:dyDescent="0.25">
      <c r="A3891" s="186"/>
      <c r="B3891" s="179"/>
      <c r="C3891" s="25" t="s">
        <v>601</v>
      </c>
      <c r="D3891" s="25" t="s">
        <v>75</v>
      </c>
      <c r="E3891" s="26">
        <v>0.17</v>
      </c>
      <c r="F3891" s="26" t="s">
        <v>2262</v>
      </c>
      <c r="G3891" s="46">
        <v>24.101500000000001</v>
      </c>
      <c r="H3891" s="27" t="s">
        <v>602</v>
      </c>
      <c r="I3891" s="46">
        <f>IF(ISNUMBER(G3891),E3891*G3891,"")</f>
        <v>4.0972550000000005</v>
      </c>
      <c r="J3891" s="69"/>
      <c r="K3891" s="70"/>
      <c r="L3891" s="174">
        <v>0</v>
      </c>
    </row>
    <row r="3892" spans="1:12" ht="15.75" hidden="1" thickBot="1" x14ac:dyDescent="0.3">
      <c r="A3892" s="186"/>
      <c r="B3892" s="179"/>
      <c r="C3892" s="47"/>
      <c r="D3892" s="47"/>
      <c r="E3892" s="60"/>
      <c r="F3892" s="61"/>
      <c r="G3892" s="73" t="s">
        <v>1079</v>
      </c>
      <c r="H3892" s="61"/>
      <c r="I3892" s="73" t="str">
        <f>IF(ISNUMBER(G3892),E3892*G3892,"")</f>
        <v/>
      </c>
      <c r="J3892" s="75"/>
      <c r="K3892" s="70"/>
      <c r="L3892" s="174">
        <v>0</v>
      </c>
    </row>
    <row r="3893" spans="1:12" ht="15.75" hidden="1" thickBot="1" x14ac:dyDescent="0.3">
      <c r="A3893" s="180" t="s">
        <v>2263</v>
      </c>
      <c r="B3893" s="178" t="str">
        <f>INDEX(Orçamentária!A:B,MATCH(Composições!A3893,Orçamentária!A:A,0),2)</f>
        <v>Revestimento acústico plano - Linha Administrativa</v>
      </c>
      <c r="C3893" s="30"/>
      <c r="D3893" s="13" t="str">
        <f>TRIM(INDEX(Orçamentária!C:C,MATCH(Composições!A3893,Orçamentária!A:A,0),1))</f>
        <v>m2</v>
      </c>
      <c r="E3893" s="14"/>
      <c r="F3893" s="71" t="s">
        <v>2260</v>
      </c>
      <c r="G3893" s="40" t="s">
        <v>1079</v>
      </c>
      <c r="H3893" s="16"/>
      <c r="I3893" s="16" t="str">
        <f>IF(ISNUMBER(G3893),E3893*G3893,"")</f>
        <v/>
      </c>
      <c r="J3893" s="17"/>
      <c r="K3893" s="18"/>
      <c r="L3893" s="174">
        <v>0</v>
      </c>
    </row>
    <row r="3894" spans="1:12" hidden="1" x14ac:dyDescent="0.25">
      <c r="A3894" s="186"/>
      <c r="B3894" s="179"/>
      <c r="C3894" s="20"/>
      <c r="D3894" s="20"/>
      <c r="E3894" s="21"/>
      <c r="F3894" s="22"/>
      <c r="G3894" s="46" t="s">
        <v>1079</v>
      </c>
      <c r="H3894" s="20"/>
      <c r="I3894" s="46" t="str">
        <f>IF(ISNUMBER(G3894),E3894*G3894,"")</f>
        <v/>
      </c>
      <c r="J3894" s="69"/>
      <c r="K3894" s="70"/>
      <c r="L3894" s="174">
        <v>0</v>
      </c>
    </row>
    <row r="3895" spans="1:12" ht="25.5" hidden="1" x14ac:dyDescent="0.25">
      <c r="A3895" s="186"/>
      <c r="B3895" s="179"/>
      <c r="C3895" s="25" t="s">
        <v>2264</v>
      </c>
      <c r="D3895" s="25" t="s">
        <v>189</v>
      </c>
      <c r="E3895" s="26">
        <v>1.05</v>
      </c>
      <c r="F3895" s="26" t="s">
        <v>2262</v>
      </c>
      <c r="G3895" s="46" t="s">
        <v>1079</v>
      </c>
      <c r="H3895" s="26" t="s">
        <v>33</v>
      </c>
      <c r="I3895" s="46" t="str">
        <f>IF(ISNUMBER(G3895),E3895*G3895,"")</f>
        <v/>
      </c>
      <c r="J3895" s="28">
        <f>SUM(I3895:I3897)</f>
        <v>7.4089549999999997</v>
      </c>
      <c r="K3895" s="29"/>
      <c r="L3895" s="174">
        <v>0</v>
      </c>
    </row>
    <row r="3896" spans="1:12" hidden="1" x14ac:dyDescent="0.25">
      <c r="A3896" s="186"/>
      <c r="B3896" s="179"/>
      <c r="C3896" s="25" t="s">
        <v>2207</v>
      </c>
      <c r="D3896" s="25" t="s">
        <v>1366</v>
      </c>
      <c r="E3896" s="26">
        <v>0.15</v>
      </c>
      <c r="F3896" s="26" t="s">
        <v>2262</v>
      </c>
      <c r="G3896" s="46">
        <v>22.077999999999996</v>
      </c>
      <c r="H3896" s="27" t="s">
        <v>2208</v>
      </c>
      <c r="I3896" s="46">
        <f>IF(ISNUMBER(G3896),E3896*G3896,"")</f>
        <v>3.3116999999999992</v>
      </c>
      <c r="J3896" s="69"/>
      <c r="K3896" s="70"/>
      <c r="L3896" s="174">
        <v>0</v>
      </c>
    </row>
    <row r="3897" spans="1:12" hidden="1" x14ac:dyDescent="0.25">
      <c r="A3897" s="186"/>
      <c r="B3897" s="179"/>
      <c r="C3897" s="25" t="s">
        <v>601</v>
      </c>
      <c r="D3897" s="25" t="s">
        <v>75</v>
      </c>
      <c r="E3897" s="26">
        <v>0.17</v>
      </c>
      <c r="F3897" s="26" t="s">
        <v>2262</v>
      </c>
      <c r="G3897" s="46">
        <v>24.101500000000001</v>
      </c>
      <c r="H3897" s="27" t="s">
        <v>602</v>
      </c>
      <c r="I3897" s="46">
        <f>IF(ISNUMBER(G3897),E3897*G3897,"")</f>
        <v>4.0972550000000005</v>
      </c>
      <c r="J3897" s="69"/>
      <c r="K3897" s="70"/>
      <c r="L3897" s="174">
        <v>0</v>
      </c>
    </row>
    <row r="3898" spans="1:12" ht="15.75" hidden="1" thickBot="1" x14ac:dyDescent="0.3">
      <c r="A3898" s="186"/>
      <c r="B3898" s="179"/>
      <c r="C3898" s="47"/>
      <c r="D3898" s="47"/>
      <c r="E3898" s="60"/>
      <c r="F3898" s="61"/>
      <c r="G3898" s="73" t="s">
        <v>1079</v>
      </c>
      <c r="H3898" s="61"/>
      <c r="I3898" s="73" t="str">
        <f>IF(ISNUMBER(G3898),E3898*G3898,"")</f>
        <v/>
      </c>
      <c r="J3898" s="75"/>
      <c r="K3898" s="70"/>
      <c r="L3898" s="174">
        <v>0</v>
      </c>
    </row>
    <row r="3899" spans="1:12" ht="15.75" hidden="1" thickBot="1" x14ac:dyDescent="0.3">
      <c r="A3899" s="180" t="s">
        <v>2265</v>
      </c>
      <c r="B3899" s="178" t="str">
        <f>INDEX(Orçamentária!A:B,MATCH(Composições!A3899,Orçamentária!A:A,0),2)</f>
        <v>Forro monolítico de gesso em placas</v>
      </c>
      <c r="C3899" s="30"/>
      <c r="D3899" s="13" t="str">
        <f>TRIM(INDEX(Orçamentária!C:C,MATCH(Composições!A3899,Orçamentária!A:A,0),1))</f>
        <v>m2</v>
      </c>
      <c r="E3899" s="14"/>
      <c r="F3899" s="15" t="s">
        <v>2266</v>
      </c>
      <c r="G3899" s="40" t="s">
        <v>1079</v>
      </c>
      <c r="H3899" s="16"/>
      <c r="I3899" s="16" t="str">
        <f>IF(ISNUMBER(G3899),E3899*G3899,"")</f>
        <v/>
      </c>
      <c r="J3899" s="17"/>
      <c r="K3899" s="18"/>
      <c r="L3899" s="174">
        <v>0</v>
      </c>
    </row>
    <row r="3900" spans="1:12" hidden="1" x14ac:dyDescent="0.25">
      <c r="A3900" s="186"/>
      <c r="B3900" s="179"/>
      <c r="C3900" s="20"/>
      <c r="D3900" s="20"/>
      <c r="E3900" s="21"/>
      <c r="F3900" s="22"/>
      <c r="G3900" s="46" t="s">
        <v>1079</v>
      </c>
      <c r="H3900" s="20"/>
      <c r="I3900" s="46" t="str">
        <f>IF(ISNUMBER(G3900),E3900*G3900,"")</f>
        <v/>
      </c>
      <c r="J3900" s="69"/>
      <c r="K3900" s="70"/>
      <c r="L3900" s="174">
        <v>0</v>
      </c>
    </row>
    <row r="3901" spans="1:12" hidden="1" x14ac:dyDescent="0.25">
      <c r="A3901" s="186"/>
      <c r="B3901" s="179"/>
      <c r="C3901" s="25" t="s">
        <v>2267</v>
      </c>
      <c r="D3901" s="36" t="s">
        <v>1629</v>
      </c>
      <c r="E3901" s="26">
        <v>2.5000000000000001E-2</v>
      </c>
      <c r="F3901" s="27" t="s">
        <v>2254</v>
      </c>
      <c r="G3901" s="46">
        <v>17.717499999999998</v>
      </c>
      <c r="H3901" s="27" t="s">
        <v>2268</v>
      </c>
      <c r="I3901" s="46">
        <f>IF(ISNUMBER(G3901),E3901*G3901,"")</f>
        <v>0.44293749999999998</v>
      </c>
      <c r="J3901" s="28">
        <f>SUM(I3901:I3907)</f>
        <v>36.230852049999996</v>
      </c>
      <c r="K3901" s="29"/>
      <c r="L3901" s="174">
        <v>0</v>
      </c>
    </row>
    <row r="3902" spans="1:12" hidden="1" x14ac:dyDescent="0.25">
      <c r="A3902" s="186"/>
      <c r="B3902" s="179"/>
      <c r="C3902" s="25" t="s">
        <v>1452</v>
      </c>
      <c r="D3902" s="36" t="s">
        <v>1629</v>
      </c>
      <c r="E3902" s="26">
        <v>0.99639999999999995</v>
      </c>
      <c r="F3902" s="27" t="s">
        <v>2254</v>
      </c>
      <c r="G3902" s="46">
        <v>0.57950000000000002</v>
      </c>
      <c r="H3902" s="27" t="s">
        <v>1453</v>
      </c>
      <c r="I3902" s="46">
        <f>IF(ISNUMBER(G3902),E3902*G3902,"")</f>
        <v>0.57741379999999998</v>
      </c>
      <c r="J3902" s="69"/>
      <c r="K3902" s="70"/>
      <c r="L3902" s="174">
        <v>0</v>
      </c>
    </row>
    <row r="3903" spans="1:12" ht="25.5" hidden="1" x14ac:dyDescent="0.25">
      <c r="A3903" s="186"/>
      <c r="B3903" s="179"/>
      <c r="C3903" s="25" t="s">
        <v>2269</v>
      </c>
      <c r="D3903" s="25" t="s">
        <v>1795</v>
      </c>
      <c r="E3903" s="26">
        <v>1.0293000000000001</v>
      </c>
      <c r="F3903" s="27" t="s">
        <v>2254</v>
      </c>
      <c r="G3903" s="46">
        <v>13.195499999999999</v>
      </c>
      <c r="H3903" s="27" t="s">
        <v>2270</v>
      </c>
      <c r="I3903" s="46">
        <f>IF(ISNUMBER(G3903),E3903*G3903,"")</f>
        <v>13.582128150000001</v>
      </c>
      <c r="J3903" s="69"/>
      <c r="K3903" s="70"/>
      <c r="L3903" s="174">
        <v>0</v>
      </c>
    </row>
    <row r="3904" spans="1:12" hidden="1" x14ac:dyDescent="0.25">
      <c r="A3904" s="186"/>
      <c r="B3904" s="179"/>
      <c r="C3904" s="25" t="s">
        <v>2271</v>
      </c>
      <c r="D3904" s="25" t="s">
        <v>1629</v>
      </c>
      <c r="E3904" s="26">
        <v>7.7999999999999996E-3</v>
      </c>
      <c r="F3904" s="27" t="s">
        <v>2254</v>
      </c>
      <c r="G3904" s="46">
        <v>11.875</v>
      </c>
      <c r="H3904" s="27" t="s">
        <v>2272</v>
      </c>
      <c r="I3904" s="46">
        <f>IF(ISNUMBER(G3904),E3904*G3904,"")</f>
        <v>9.2624999999999999E-2</v>
      </c>
      <c r="J3904" s="69"/>
      <c r="K3904" s="70"/>
      <c r="L3904" s="174">
        <v>0</v>
      </c>
    </row>
    <row r="3905" spans="1:12" ht="25.5" hidden="1" x14ac:dyDescent="0.25">
      <c r="A3905" s="186"/>
      <c r="B3905" s="179"/>
      <c r="C3905" s="25" t="s">
        <v>565</v>
      </c>
      <c r="D3905" s="36" t="s">
        <v>2273</v>
      </c>
      <c r="E3905" s="26">
        <v>3.0800000000000001E-2</v>
      </c>
      <c r="F3905" s="27" t="s">
        <v>2254</v>
      </c>
      <c r="G3905" s="46">
        <v>20.387</v>
      </c>
      <c r="H3905" s="27" t="s">
        <v>566</v>
      </c>
      <c r="I3905" s="46">
        <f>IF(ISNUMBER(G3905),E3905*G3905,"")</f>
        <v>0.62791960000000002</v>
      </c>
      <c r="J3905" s="69"/>
      <c r="K3905" s="70"/>
      <c r="L3905" s="174">
        <v>0</v>
      </c>
    </row>
    <row r="3906" spans="1:12" hidden="1" x14ac:dyDescent="0.25">
      <c r="A3906" s="186"/>
      <c r="B3906" s="179"/>
      <c r="C3906" s="25" t="s">
        <v>2274</v>
      </c>
      <c r="D3906" s="25" t="s">
        <v>1366</v>
      </c>
      <c r="E3906" s="26">
        <v>0.7974</v>
      </c>
      <c r="F3906" s="27" t="s">
        <v>2254</v>
      </c>
      <c r="G3906" s="46">
        <v>19.056999999999999</v>
      </c>
      <c r="H3906" s="27" t="s">
        <v>387</v>
      </c>
      <c r="I3906" s="46">
        <f>IF(ISNUMBER(G3906),E3906*G3906,"")</f>
        <v>15.196051799999999</v>
      </c>
      <c r="J3906" s="69"/>
      <c r="K3906" s="70"/>
      <c r="L3906" s="174">
        <v>0</v>
      </c>
    </row>
    <row r="3907" spans="1:12" hidden="1" x14ac:dyDescent="0.25">
      <c r="A3907" s="186"/>
      <c r="B3907" s="179"/>
      <c r="C3907" s="25" t="s">
        <v>1367</v>
      </c>
      <c r="D3907" s="25" t="s">
        <v>1366</v>
      </c>
      <c r="E3907" s="26">
        <v>0.3987</v>
      </c>
      <c r="F3907" s="27" t="s">
        <v>2254</v>
      </c>
      <c r="G3907" s="46">
        <v>14.325999999999999</v>
      </c>
      <c r="H3907" s="27" t="s">
        <v>39</v>
      </c>
      <c r="I3907" s="46">
        <f>IF(ISNUMBER(G3907),E3907*G3907,"")</f>
        <v>5.7117761999999992</v>
      </c>
      <c r="J3907" s="69"/>
      <c r="K3907" s="70"/>
      <c r="L3907" s="174">
        <v>0</v>
      </c>
    </row>
    <row r="3908" spans="1:12" ht="15.75" hidden="1" thickBot="1" x14ac:dyDescent="0.3">
      <c r="A3908" s="186"/>
      <c r="B3908" s="179"/>
      <c r="C3908" s="47"/>
      <c r="D3908" s="47"/>
      <c r="E3908" s="60"/>
      <c r="F3908" s="61"/>
      <c r="G3908" s="73" t="s">
        <v>1079</v>
      </c>
      <c r="H3908" s="61"/>
      <c r="I3908" s="73" t="str">
        <f>IF(ISNUMBER(G3908),E3908*G3908,"")</f>
        <v/>
      </c>
      <c r="J3908" s="75"/>
      <c r="K3908" s="70"/>
      <c r="L3908" s="174">
        <v>0</v>
      </c>
    </row>
    <row r="3909" spans="1:12" ht="15.75" hidden="1" thickBot="1" x14ac:dyDescent="0.3">
      <c r="A3909" s="180" t="s">
        <v>2275</v>
      </c>
      <c r="B3909" s="178" t="str">
        <f>INDEX(Orçamentária!A:B,MATCH(Composições!A3909,Orçamentária!A:A,0),2)</f>
        <v>Textura acrílica - Linha Administrativa</v>
      </c>
      <c r="C3909" s="30"/>
      <c r="D3909" s="13" t="str">
        <f>TRIM(INDEX(Orçamentária!C:C,MATCH(Composições!A3909,Orçamentária!A:A,0),1))</f>
        <v>m2</v>
      </c>
      <c r="E3909" s="14"/>
      <c r="F3909" s="71" t="s">
        <v>2276</v>
      </c>
      <c r="G3909" s="40" t="s">
        <v>1079</v>
      </c>
      <c r="H3909" s="16"/>
      <c r="I3909" s="16" t="str">
        <f>IF(ISNUMBER(G3909),E3909*G3909,"")</f>
        <v/>
      </c>
      <c r="J3909" s="17"/>
      <c r="K3909" s="18"/>
      <c r="L3909" s="174">
        <v>0</v>
      </c>
    </row>
    <row r="3910" spans="1:12" hidden="1" x14ac:dyDescent="0.25">
      <c r="A3910" s="186"/>
      <c r="B3910" s="179"/>
      <c r="C3910" s="20"/>
      <c r="D3910" s="20"/>
      <c r="E3910" s="21"/>
      <c r="F3910" s="22"/>
      <c r="G3910" s="46" t="s">
        <v>1079</v>
      </c>
      <c r="H3910" s="20"/>
      <c r="I3910" s="46" t="str">
        <f>IF(ISNUMBER(G3910),E3910*G3910,"")</f>
        <v/>
      </c>
      <c r="J3910" s="69"/>
      <c r="K3910" s="70"/>
      <c r="L3910" s="174">
        <v>0</v>
      </c>
    </row>
    <row r="3911" spans="1:12" ht="25.5" hidden="1" x14ac:dyDescent="0.25">
      <c r="A3911" s="186"/>
      <c r="B3911" s="179"/>
      <c r="C3911" s="25" t="s">
        <v>2277</v>
      </c>
      <c r="D3911" s="25" t="s">
        <v>1629</v>
      </c>
      <c r="E3911" s="26">
        <v>1.1399999999999999</v>
      </c>
      <c r="F3911" s="26" t="s">
        <v>2276</v>
      </c>
      <c r="G3911" s="46">
        <v>6.1084999999999994</v>
      </c>
      <c r="H3911" s="26" t="s">
        <v>2278</v>
      </c>
      <c r="I3911" s="46">
        <f>IF(ISNUMBER(G3911),E3911*G3911,"")</f>
        <v>6.9636899999999988</v>
      </c>
      <c r="J3911" s="28">
        <f>SUM(I3911:I3913)</f>
        <v>11.749219999999998</v>
      </c>
      <c r="K3911" s="29"/>
      <c r="L3911" s="174">
        <v>0</v>
      </c>
    </row>
    <row r="3912" spans="1:12" hidden="1" x14ac:dyDescent="0.25">
      <c r="A3912" s="186"/>
      <c r="B3912" s="179"/>
      <c r="C3912" s="25" t="s">
        <v>1972</v>
      </c>
      <c r="D3912" s="25" t="s">
        <v>1366</v>
      </c>
      <c r="E3912" s="26">
        <v>0.188</v>
      </c>
      <c r="F3912" s="26" t="s">
        <v>2276</v>
      </c>
      <c r="G3912" s="46">
        <v>20.196999999999999</v>
      </c>
      <c r="H3912" s="27" t="s">
        <v>206</v>
      </c>
      <c r="I3912" s="46">
        <f>IF(ISNUMBER(G3912),E3912*G3912,"")</f>
        <v>3.7970359999999999</v>
      </c>
      <c r="J3912" s="69"/>
      <c r="K3912" s="70"/>
      <c r="L3912" s="174">
        <v>0</v>
      </c>
    </row>
    <row r="3913" spans="1:12" hidden="1" x14ac:dyDescent="0.25">
      <c r="A3913" s="186"/>
      <c r="B3913" s="179"/>
      <c r="C3913" s="25" t="s">
        <v>1367</v>
      </c>
      <c r="D3913" s="25" t="s">
        <v>1366</v>
      </c>
      <c r="E3913" s="26">
        <v>6.9000000000000006E-2</v>
      </c>
      <c r="F3913" s="26" t="s">
        <v>2276</v>
      </c>
      <c r="G3913" s="46">
        <v>14.325999999999999</v>
      </c>
      <c r="H3913" s="27" t="s">
        <v>39</v>
      </c>
      <c r="I3913" s="46">
        <f>IF(ISNUMBER(G3913),E3913*G3913,"")</f>
        <v>0.98849399999999998</v>
      </c>
      <c r="J3913" s="69"/>
      <c r="K3913" s="70"/>
      <c r="L3913" s="174">
        <v>0</v>
      </c>
    </row>
    <row r="3914" spans="1:12" ht="15.75" hidden="1" thickBot="1" x14ac:dyDescent="0.3">
      <c r="A3914" s="186"/>
      <c r="B3914" s="179"/>
      <c r="C3914" s="47"/>
      <c r="D3914" s="47"/>
      <c r="E3914" s="60"/>
      <c r="F3914" s="61"/>
      <c r="G3914" s="73" t="s">
        <v>1079</v>
      </c>
      <c r="H3914" s="61"/>
      <c r="I3914" s="73" t="str">
        <f>IF(ISNUMBER(G3914),E3914*G3914,"")</f>
        <v/>
      </c>
      <c r="J3914" s="75"/>
      <c r="K3914" s="70"/>
      <c r="L3914" s="174">
        <v>0</v>
      </c>
    </row>
    <row r="3915" spans="1:12" ht="15.75" hidden="1" thickBot="1" x14ac:dyDescent="0.3">
      <c r="A3915" s="180" t="s">
        <v>2279</v>
      </c>
      <c r="B3915" s="178" t="str">
        <f>INDEX(Orçamentária!A:B,MATCH(Composições!A3915,Orçamentária!A:A,0),2)</f>
        <v>Pintura com tinta látex acrílica Premium - cores especiais (sistema tintométrico)</v>
      </c>
      <c r="C3915" s="30"/>
      <c r="D3915" s="13" t="str">
        <f>TRIM(INDEX(Orçamentária!C:C,MATCH(Composições!A3915,Orçamentária!A:A,0),1))</f>
        <v>m2</v>
      </c>
      <c r="E3915" s="14"/>
      <c r="F3915" s="71" t="s">
        <v>2280</v>
      </c>
      <c r="G3915" s="40" t="s">
        <v>1079</v>
      </c>
      <c r="H3915" s="16"/>
      <c r="I3915" s="16" t="str">
        <f>IF(ISNUMBER(G3915),E3915*G3915,"")</f>
        <v/>
      </c>
      <c r="J3915" s="17"/>
      <c r="K3915" s="18"/>
      <c r="L3915" s="174">
        <v>0</v>
      </c>
    </row>
    <row r="3916" spans="1:12" hidden="1" x14ac:dyDescent="0.25">
      <c r="A3916" s="186"/>
      <c r="B3916" s="179"/>
      <c r="C3916" s="20"/>
      <c r="D3916" s="20"/>
      <c r="E3916" s="21"/>
      <c r="F3916" s="22"/>
      <c r="G3916" s="46" t="s">
        <v>1079</v>
      </c>
      <c r="H3916" s="20"/>
      <c r="I3916" s="46" t="str">
        <f>IF(ISNUMBER(G3916),E3916*G3916,"")</f>
        <v/>
      </c>
      <c r="J3916" s="69"/>
      <c r="K3916" s="70"/>
      <c r="L3916" s="174">
        <v>0</v>
      </c>
    </row>
    <row r="3917" spans="1:12" hidden="1" x14ac:dyDescent="0.25">
      <c r="A3917" s="186"/>
      <c r="B3917" s="179"/>
      <c r="C3917" s="25" t="s">
        <v>2281</v>
      </c>
      <c r="D3917" s="25" t="s">
        <v>208</v>
      </c>
      <c r="E3917" s="26">
        <f>ROUND(0.33*1.15,4)</f>
        <v>0.3795</v>
      </c>
      <c r="F3917" s="26" t="s">
        <v>437</v>
      </c>
      <c r="G3917" s="46">
        <v>19.826499999999999</v>
      </c>
      <c r="H3917" s="26" t="s">
        <v>439</v>
      </c>
      <c r="I3917" s="46">
        <f>IF(ISNUMBER(G3917),E3917*G3917,"")</f>
        <v>7.5241567499999995</v>
      </c>
      <c r="J3917" s="28">
        <f>SUM(I3917:I3919)</f>
        <v>12.289489749999998</v>
      </c>
      <c r="K3917" s="29"/>
      <c r="L3917" s="174">
        <v>0</v>
      </c>
    </row>
    <row r="3918" spans="1:12" hidden="1" x14ac:dyDescent="0.25">
      <c r="A3918" s="186"/>
      <c r="B3918" s="179"/>
      <c r="C3918" s="25" t="s">
        <v>1972</v>
      </c>
      <c r="D3918" s="25" t="s">
        <v>1366</v>
      </c>
      <c r="E3918" s="26">
        <v>0.187</v>
      </c>
      <c r="F3918" s="26" t="s">
        <v>437</v>
      </c>
      <c r="G3918" s="46">
        <v>20.196999999999999</v>
      </c>
      <c r="H3918" s="27" t="s">
        <v>206</v>
      </c>
      <c r="I3918" s="46">
        <f>IF(ISNUMBER(G3918),E3918*G3918,"")</f>
        <v>3.7768389999999998</v>
      </c>
      <c r="J3918" s="69"/>
      <c r="K3918" s="70"/>
      <c r="L3918" s="174">
        <v>0</v>
      </c>
    </row>
    <row r="3919" spans="1:12" hidden="1" x14ac:dyDescent="0.25">
      <c r="A3919" s="186"/>
      <c r="B3919" s="179"/>
      <c r="C3919" s="25" t="s">
        <v>1367</v>
      </c>
      <c r="D3919" s="25" t="s">
        <v>1366</v>
      </c>
      <c r="E3919" s="26">
        <v>6.9000000000000006E-2</v>
      </c>
      <c r="F3919" s="26" t="s">
        <v>437</v>
      </c>
      <c r="G3919" s="46">
        <v>14.325999999999999</v>
      </c>
      <c r="H3919" s="27" t="s">
        <v>39</v>
      </c>
      <c r="I3919" s="46">
        <f>IF(ISNUMBER(G3919),E3919*G3919,"")</f>
        <v>0.98849399999999998</v>
      </c>
      <c r="J3919" s="69"/>
      <c r="K3919" s="70"/>
      <c r="L3919" s="174">
        <v>0</v>
      </c>
    </row>
    <row r="3920" spans="1:12" hidden="1" x14ac:dyDescent="0.25">
      <c r="A3920" s="186"/>
      <c r="B3920" s="179"/>
      <c r="C3920" s="25"/>
      <c r="D3920" s="25"/>
      <c r="E3920" s="26"/>
      <c r="F3920" s="26"/>
      <c r="G3920" s="46" t="s">
        <v>1079</v>
      </c>
      <c r="H3920" s="27"/>
      <c r="I3920" s="46" t="str">
        <f>IF(ISNUMBER(G3920),E3920*G3920,"")</f>
        <v/>
      </c>
      <c r="J3920" s="69"/>
      <c r="K3920" s="70"/>
      <c r="L3920" s="174">
        <v>0</v>
      </c>
    </row>
    <row r="3921" spans="1:12" ht="25.5" hidden="1" x14ac:dyDescent="0.25">
      <c r="A3921" s="186"/>
      <c r="B3921" s="179"/>
      <c r="C3921" s="25" t="s">
        <v>2282</v>
      </c>
      <c r="D3921" s="25"/>
      <c r="E3921" s="26"/>
      <c r="F3921" s="26"/>
      <c r="G3921" s="46" t="s">
        <v>1079</v>
      </c>
      <c r="H3921" s="27"/>
      <c r="I3921" s="46" t="str">
        <f>IF(ISNUMBER(G3921),E3921*G3921,"")</f>
        <v/>
      </c>
      <c r="J3921" s="69"/>
      <c r="K3921" s="70"/>
      <c r="L3921" s="174">
        <v>0</v>
      </c>
    </row>
    <row r="3922" spans="1:12" ht="15.75" hidden="1" thickBot="1" x14ac:dyDescent="0.3">
      <c r="A3922" s="186"/>
      <c r="B3922" s="179"/>
      <c r="C3922" s="47"/>
      <c r="D3922" s="47"/>
      <c r="E3922" s="60"/>
      <c r="F3922" s="61"/>
      <c r="G3922" s="73" t="s">
        <v>1079</v>
      </c>
      <c r="H3922" s="61"/>
      <c r="I3922" s="73" t="str">
        <f>IF(ISNUMBER(G3922),E3922*G3922,"")</f>
        <v/>
      </c>
      <c r="J3922" s="75"/>
      <c r="K3922" s="70"/>
      <c r="L3922" s="174">
        <v>0</v>
      </c>
    </row>
    <row r="3923" spans="1:12" ht="15.75" hidden="1" thickBot="1" x14ac:dyDescent="0.3">
      <c r="A3923" s="180" t="s">
        <v>2284</v>
      </c>
      <c r="B3923" s="178" t="str">
        <f>INDEX(Orçamentária!A:B,MATCH(Composições!A3923,Orçamentária!A:A,0),2)</f>
        <v>Pintura com tinta acrílica (pisos)</v>
      </c>
      <c r="C3923" s="30"/>
      <c r="D3923" s="13" t="str">
        <f>TRIM(INDEX(Orçamentária!C:C,MATCH(Composições!A3923,Orçamentária!A:A,0),1))</f>
        <v>m2</v>
      </c>
      <c r="E3923" s="14"/>
      <c r="F3923" s="71" t="s">
        <v>1970</v>
      </c>
      <c r="G3923" s="40" t="s">
        <v>1079</v>
      </c>
      <c r="H3923" s="16"/>
      <c r="I3923" s="16" t="str">
        <f>IF(ISNUMBER(G3923),E3923*G3923,"")</f>
        <v/>
      </c>
      <c r="J3923" s="17"/>
      <c r="K3923" s="18"/>
      <c r="L3923" s="174">
        <v>0</v>
      </c>
    </row>
    <row r="3924" spans="1:12" hidden="1" x14ac:dyDescent="0.25">
      <c r="A3924" s="186"/>
      <c r="B3924" s="179"/>
      <c r="C3924" s="20"/>
      <c r="D3924" s="20"/>
      <c r="E3924" s="21"/>
      <c r="F3924" s="22"/>
      <c r="G3924" s="46" t="s">
        <v>1079</v>
      </c>
      <c r="H3924" s="20"/>
      <c r="I3924" s="46" t="str">
        <f>IF(ISNUMBER(G3924),E3924*G3924,"")</f>
        <v/>
      </c>
      <c r="J3924" s="69"/>
      <c r="K3924" s="70"/>
      <c r="L3924" s="174">
        <v>0</v>
      </c>
    </row>
    <row r="3925" spans="1:12" hidden="1" x14ac:dyDescent="0.25">
      <c r="A3925" s="186"/>
      <c r="B3925" s="179"/>
      <c r="C3925" s="25" t="s">
        <v>1969</v>
      </c>
      <c r="D3925" s="25" t="s">
        <v>208</v>
      </c>
      <c r="E3925" s="26">
        <v>0.17</v>
      </c>
      <c r="F3925" s="26" t="s">
        <v>1970</v>
      </c>
      <c r="G3925" s="46">
        <v>13.224</v>
      </c>
      <c r="H3925" s="26" t="s">
        <v>1971</v>
      </c>
      <c r="I3925" s="46">
        <f>IF(ISNUMBER(G3925),E3925*G3925,"")</f>
        <v>2.2480800000000003</v>
      </c>
      <c r="J3925" s="28">
        <f>SUM(I3925:I3927)</f>
        <v>12.898529999999999</v>
      </c>
      <c r="K3925" s="29"/>
      <c r="L3925" s="174">
        <v>0</v>
      </c>
    </row>
    <row r="3926" spans="1:12" hidden="1" x14ac:dyDescent="0.25">
      <c r="A3926" s="186"/>
      <c r="B3926" s="179"/>
      <c r="C3926" s="25" t="s">
        <v>1972</v>
      </c>
      <c r="D3926" s="25" t="s">
        <v>1366</v>
      </c>
      <c r="E3926" s="26">
        <v>0.35</v>
      </c>
      <c r="F3926" s="26" t="s">
        <v>1970</v>
      </c>
      <c r="G3926" s="46">
        <v>20.196999999999999</v>
      </c>
      <c r="H3926" s="27" t="s">
        <v>206</v>
      </c>
      <c r="I3926" s="46">
        <f>IF(ISNUMBER(G3926),E3926*G3926,"")</f>
        <v>7.0689499999999992</v>
      </c>
      <c r="J3926" s="69"/>
      <c r="K3926" s="70"/>
      <c r="L3926" s="174">
        <v>0</v>
      </c>
    </row>
    <row r="3927" spans="1:12" hidden="1" x14ac:dyDescent="0.25">
      <c r="A3927" s="186"/>
      <c r="B3927" s="179"/>
      <c r="C3927" s="25" t="s">
        <v>1367</v>
      </c>
      <c r="D3927" s="25" t="s">
        <v>1366</v>
      </c>
      <c r="E3927" s="26">
        <v>0.25</v>
      </c>
      <c r="F3927" s="26" t="s">
        <v>1970</v>
      </c>
      <c r="G3927" s="46">
        <v>14.325999999999999</v>
      </c>
      <c r="H3927" s="27" t="s">
        <v>39</v>
      </c>
      <c r="I3927" s="46">
        <f>IF(ISNUMBER(G3927),E3927*G3927,"")</f>
        <v>3.5814999999999997</v>
      </c>
      <c r="J3927" s="69"/>
      <c r="K3927" s="70"/>
      <c r="L3927" s="174">
        <v>0</v>
      </c>
    </row>
    <row r="3928" spans="1:12" ht="15.75" hidden="1" thickBot="1" x14ac:dyDescent="0.3">
      <c r="A3928" s="186"/>
      <c r="B3928" s="179"/>
      <c r="C3928" s="47"/>
      <c r="D3928" s="47"/>
      <c r="E3928" s="60"/>
      <c r="F3928" s="61"/>
      <c r="G3928" s="73" t="s">
        <v>1079</v>
      </c>
      <c r="H3928" s="61"/>
      <c r="I3928" s="73" t="str">
        <f>IF(ISNUMBER(G3928),E3928*G3928,"")</f>
        <v/>
      </c>
      <c r="J3928" s="75"/>
      <c r="K3928" s="70"/>
      <c r="L3928" s="174">
        <v>0</v>
      </c>
    </row>
    <row r="3929" spans="1:12" ht="15.75" hidden="1" thickBot="1" x14ac:dyDescent="0.3">
      <c r="A3929" s="180" t="s">
        <v>2285</v>
      </c>
      <c r="B3929" s="178" t="str">
        <f>INDEX(Orçamentária!A:B,MATCH(Composições!A3929,Orçamentária!A:A,0),2)</f>
        <v>Pintura com tinta epóxi de alto desempenho (pisos)</v>
      </c>
      <c r="C3929" s="30"/>
      <c r="D3929" s="13" t="str">
        <f>TRIM(INDEX(Orçamentária!C:C,MATCH(Composições!A3929,Orçamentária!A:A,0),1))</f>
        <v>m2</v>
      </c>
      <c r="E3929" s="14"/>
      <c r="F3929" s="71" t="s">
        <v>2286</v>
      </c>
      <c r="G3929" s="40" t="s">
        <v>1079</v>
      </c>
      <c r="H3929" s="16"/>
      <c r="I3929" s="16" t="str">
        <f>IF(ISNUMBER(G3929),E3929*G3929,"")</f>
        <v/>
      </c>
      <c r="J3929" s="17"/>
      <c r="K3929" s="18"/>
      <c r="L3929" s="174">
        <v>0</v>
      </c>
    </row>
    <row r="3930" spans="1:12" hidden="1" x14ac:dyDescent="0.25">
      <c r="A3930" s="186"/>
      <c r="B3930" s="179"/>
      <c r="C3930" s="20"/>
      <c r="D3930" s="20"/>
      <c r="E3930" s="21"/>
      <c r="F3930" s="22"/>
      <c r="G3930" s="46" t="s">
        <v>1079</v>
      </c>
      <c r="H3930" s="20"/>
      <c r="I3930" s="46" t="str">
        <f>IF(ISNUMBER(G3930),E3930*G3930,"")</f>
        <v/>
      </c>
      <c r="J3930" s="69"/>
      <c r="K3930" s="70"/>
      <c r="L3930" s="174">
        <v>0</v>
      </c>
    </row>
    <row r="3931" spans="1:12" hidden="1" x14ac:dyDescent="0.25">
      <c r="A3931" s="186"/>
      <c r="B3931" s="179"/>
      <c r="C3931" s="25" t="s">
        <v>2287</v>
      </c>
      <c r="D3931" s="25" t="s">
        <v>208</v>
      </c>
      <c r="E3931" s="26">
        <v>0.52559999999999996</v>
      </c>
      <c r="F3931" s="26" t="s">
        <v>2288</v>
      </c>
      <c r="G3931" s="46">
        <v>56.401499999999992</v>
      </c>
      <c r="H3931" s="26" t="s">
        <v>2289</v>
      </c>
      <c r="I3931" s="46">
        <f>IF(ISNUMBER(G3931),E3931*G3931,"")</f>
        <v>29.644628399999991</v>
      </c>
      <c r="J3931" s="28">
        <f>SUM(I3931:I3934)</f>
        <v>52.337278399999988</v>
      </c>
      <c r="K3931" s="29"/>
      <c r="L3931" s="174">
        <v>0</v>
      </c>
    </row>
    <row r="3932" spans="1:12" hidden="1" x14ac:dyDescent="0.25">
      <c r="A3932" s="186"/>
      <c r="B3932" s="179"/>
      <c r="C3932" s="25" t="s">
        <v>1389</v>
      </c>
      <c r="D3932" s="25" t="s">
        <v>1366</v>
      </c>
      <c r="E3932" s="26">
        <v>0.5</v>
      </c>
      <c r="F3932" s="26" t="s">
        <v>2288</v>
      </c>
      <c r="G3932" s="46">
        <v>19.142499999999998</v>
      </c>
      <c r="H3932" s="27" t="s">
        <v>37</v>
      </c>
      <c r="I3932" s="46">
        <f>IF(ISNUMBER(G3932),E3932*G3932,"")</f>
        <v>9.5712499999999991</v>
      </c>
      <c r="J3932" s="69"/>
      <c r="K3932" s="70"/>
      <c r="L3932" s="174">
        <v>0</v>
      </c>
    </row>
    <row r="3933" spans="1:12" hidden="1" x14ac:dyDescent="0.25">
      <c r="A3933" s="186"/>
      <c r="B3933" s="179"/>
      <c r="C3933" s="25" t="s">
        <v>1367</v>
      </c>
      <c r="D3933" s="25" t="s">
        <v>1366</v>
      </c>
      <c r="E3933" s="26">
        <v>0.5</v>
      </c>
      <c r="F3933" s="26" t="s">
        <v>2288</v>
      </c>
      <c r="G3933" s="46">
        <v>14.325999999999999</v>
      </c>
      <c r="H3933" s="27" t="s">
        <v>39</v>
      </c>
      <c r="I3933" s="46">
        <f>IF(ISNUMBER(G3933),E3933*G3933,"")</f>
        <v>7.1629999999999994</v>
      </c>
      <c r="J3933" s="69"/>
      <c r="K3933" s="70"/>
      <c r="L3933" s="174">
        <v>0</v>
      </c>
    </row>
    <row r="3934" spans="1:12" hidden="1" x14ac:dyDescent="0.25">
      <c r="A3934" s="186"/>
      <c r="B3934" s="179"/>
      <c r="C3934" s="25" t="s">
        <v>2290</v>
      </c>
      <c r="D3934" s="25" t="s">
        <v>2291</v>
      </c>
      <c r="E3934" s="26">
        <v>3.9199999999999999E-2</v>
      </c>
      <c r="F3934" s="26" t="s">
        <v>2292</v>
      </c>
      <c r="G3934" s="46">
        <v>152</v>
      </c>
      <c r="H3934" s="27" t="s">
        <v>2293</v>
      </c>
      <c r="I3934" s="46">
        <f>IF(ISNUMBER(G3934),E3934*G3934,"")</f>
        <v>5.9584000000000001</v>
      </c>
      <c r="J3934" s="69"/>
      <c r="K3934" s="70"/>
      <c r="L3934" s="174">
        <v>0</v>
      </c>
    </row>
    <row r="3935" spans="1:12" ht="15.75" hidden="1" thickBot="1" x14ac:dyDescent="0.3">
      <c r="A3935" s="186"/>
      <c r="B3935" s="179"/>
      <c r="C3935" s="47"/>
      <c r="D3935" s="47"/>
      <c r="E3935" s="60"/>
      <c r="F3935" s="61"/>
      <c r="G3935" s="73" t="s">
        <v>1079</v>
      </c>
      <c r="H3935" s="61"/>
      <c r="I3935" s="73" t="str">
        <f>IF(ISNUMBER(G3935),E3935*G3935,"")</f>
        <v/>
      </c>
      <c r="J3935" s="75"/>
      <c r="K3935" s="70"/>
      <c r="L3935" s="174">
        <v>0</v>
      </c>
    </row>
    <row r="3936" spans="1:12" ht="15.75" hidden="1" thickBot="1" x14ac:dyDescent="0.3">
      <c r="A3936" s="180" t="s">
        <v>2294</v>
      </c>
      <c r="B3936" s="178" t="str">
        <f>INDEX(Orçamentária!A:B,MATCH(Composições!A3936,Orçamentária!A:A,0),2)</f>
        <v>Verniz de poliuretano sobre pintura epóxi de alto desempenho</v>
      </c>
      <c r="C3936" s="30"/>
      <c r="D3936" s="13" t="str">
        <f>TRIM(INDEX(Orçamentária!C:C,MATCH(Composições!A3936,Orçamentária!A:A,0),1))</f>
        <v>m2</v>
      </c>
      <c r="E3936" s="14"/>
      <c r="F3936" s="15" t="s">
        <v>2295</v>
      </c>
      <c r="G3936" s="40" t="s">
        <v>1079</v>
      </c>
      <c r="H3936" s="16"/>
      <c r="I3936" s="16" t="str">
        <f>IF(ISNUMBER(G3936),E3936*G3936,"")</f>
        <v/>
      </c>
      <c r="J3936" s="17"/>
      <c r="K3936" s="18"/>
      <c r="L3936" s="174">
        <v>0</v>
      </c>
    </row>
    <row r="3937" spans="1:12" hidden="1" x14ac:dyDescent="0.25">
      <c r="A3937" s="186"/>
      <c r="B3937" s="179"/>
      <c r="C3937" s="20"/>
      <c r="D3937" s="20"/>
      <c r="E3937" s="21"/>
      <c r="F3937" s="22"/>
      <c r="G3937" s="46" t="s">
        <v>1079</v>
      </c>
      <c r="H3937" s="20"/>
      <c r="I3937" s="46" t="str">
        <f>IF(ISNUMBER(G3937),E3937*G3937,"")</f>
        <v/>
      </c>
      <c r="J3937" s="69"/>
      <c r="K3937" s="70"/>
      <c r="L3937" s="174">
        <v>0</v>
      </c>
    </row>
    <row r="3938" spans="1:12" ht="25.5" hidden="1" x14ac:dyDescent="0.25">
      <c r="A3938" s="186"/>
      <c r="B3938" s="179"/>
      <c r="C3938" s="25" t="s">
        <v>2296</v>
      </c>
      <c r="D3938" s="25" t="s">
        <v>588</v>
      </c>
      <c r="E3938" s="26">
        <v>0.4</v>
      </c>
      <c r="F3938" s="27" t="s">
        <v>2295</v>
      </c>
      <c r="G3938" s="46">
        <v>0.59849999999999992</v>
      </c>
      <c r="H3938" s="27" t="s">
        <v>427</v>
      </c>
      <c r="I3938" s="46">
        <f>IF(ISNUMBER(G3938),E3938*G3938,"")</f>
        <v>0.23939999999999997</v>
      </c>
      <c r="J3938" s="28">
        <f>SUM(I3938:I3942)</f>
        <v>17.332588499999996</v>
      </c>
      <c r="K3938" s="29"/>
      <c r="L3938" s="174">
        <v>0</v>
      </c>
    </row>
    <row r="3939" spans="1:12" hidden="1" x14ac:dyDescent="0.25">
      <c r="A3939" s="186"/>
      <c r="B3939" s="179"/>
      <c r="C3939" s="25" t="s">
        <v>2297</v>
      </c>
      <c r="D3939" s="25" t="s">
        <v>208</v>
      </c>
      <c r="E3939" s="26">
        <v>3.3000000000000002E-2</v>
      </c>
      <c r="F3939" s="27" t="s">
        <v>2295</v>
      </c>
      <c r="G3939" s="46">
        <v>10.7445</v>
      </c>
      <c r="H3939" s="27" t="s">
        <v>2298</v>
      </c>
      <c r="I3939" s="46">
        <f>IF(ISNUMBER(G3939),E3939*G3939,"")</f>
        <v>0.35456850000000001</v>
      </c>
      <c r="J3939" s="69"/>
      <c r="K3939" s="70"/>
      <c r="L3939" s="174">
        <v>0</v>
      </c>
    </row>
    <row r="3940" spans="1:12" ht="25.5" hidden="1" x14ac:dyDescent="0.25">
      <c r="A3940" s="186"/>
      <c r="B3940" s="179"/>
      <c r="C3940" s="25" t="s">
        <v>2299</v>
      </c>
      <c r="D3940" s="25" t="s">
        <v>208</v>
      </c>
      <c r="E3940" s="26">
        <v>0.22</v>
      </c>
      <c r="F3940" s="27" t="s">
        <v>2295</v>
      </c>
      <c r="G3940" s="46">
        <v>27.673499999999997</v>
      </c>
      <c r="H3940" s="27" t="s">
        <v>2300</v>
      </c>
      <c r="I3940" s="46">
        <f>IF(ISNUMBER(G3940),E3940*G3940,"")</f>
        <v>6.088169999999999</v>
      </c>
      <c r="J3940" s="69"/>
      <c r="K3940" s="70"/>
      <c r="L3940" s="174">
        <v>0</v>
      </c>
    </row>
    <row r="3941" spans="1:12" hidden="1" x14ac:dyDescent="0.25">
      <c r="A3941" s="186"/>
      <c r="B3941" s="179"/>
      <c r="C3941" s="25" t="s">
        <v>1972</v>
      </c>
      <c r="D3941" s="25" t="s">
        <v>1366</v>
      </c>
      <c r="E3941" s="26">
        <v>0.35</v>
      </c>
      <c r="F3941" s="27" t="s">
        <v>2295</v>
      </c>
      <c r="G3941" s="46">
        <v>20.196999999999999</v>
      </c>
      <c r="H3941" s="27" t="s">
        <v>206</v>
      </c>
      <c r="I3941" s="46">
        <f>IF(ISNUMBER(G3941),E3941*G3941,"")</f>
        <v>7.0689499999999992</v>
      </c>
      <c r="J3941" s="69"/>
      <c r="K3941" s="70"/>
      <c r="L3941" s="174">
        <v>0</v>
      </c>
    </row>
    <row r="3942" spans="1:12" hidden="1" x14ac:dyDescent="0.25">
      <c r="A3942" s="186"/>
      <c r="B3942" s="179"/>
      <c r="C3942" s="25" t="s">
        <v>1367</v>
      </c>
      <c r="D3942" s="25" t="s">
        <v>1366</v>
      </c>
      <c r="E3942" s="26">
        <v>0.25</v>
      </c>
      <c r="F3942" s="27" t="s">
        <v>2295</v>
      </c>
      <c r="G3942" s="46">
        <v>14.325999999999999</v>
      </c>
      <c r="H3942" s="27" t="s">
        <v>39</v>
      </c>
      <c r="I3942" s="46">
        <f>IF(ISNUMBER(G3942),E3942*G3942,"")</f>
        <v>3.5814999999999997</v>
      </c>
      <c r="J3942" s="69"/>
      <c r="K3942" s="70"/>
      <c r="L3942" s="174">
        <v>0</v>
      </c>
    </row>
    <row r="3943" spans="1:12" ht="15.75" hidden="1" thickBot="1" x14ac:dyDescent="0.3">
      <c r="A3943" s="187"/>
      <c r="B3943" s="183"/>
      <c r="C3943" s="47"/>
      <c r="D3943" s="47"/>
      <c r="E3943" s="60"/>
      <c r="F3943" s="61"/>
      <c r="G3943" s="73" t="s">
        <v>1079</v>
      </c>
      <c r="H3943" s="61"/>
      <c r="I3943" s="73" t="str">
        <f>IF(ISNUMBER(G3943),E3943*G3943,"")</f>
        <v/>
      </c>
      <c r="J3943" s="75"/>
      <c r="K3943" s="70"/>
      <c r="L3943" s="174">
        <v>0</v>
      </c>
    </row>
    <row r="3944" spans="1:12" ht="15.75" hidden="1" thickBot="1" x14ac:dyDescent="0.3">
      <c r="A3944" s="180" t="s">
        <v>2301</v>
      </c>
      <c r="B3944" s="178" t="str">
        <f>INDEX(Orçamentária!A:B,MATCH(Composições!A3944,Orçamentária!A:A,0),2)</f>
        <v>Tratamento antiderrapante em verniz de poliuretano sobre pintura epóxi</v>
      </c>
      <c r="C3944" s="30"/>
      <c r="D3944" s="13" t="str">
        <f>TRIM(INDEX(Orçamentária!C:C,MATCH(Composições!A3944,Orçamentária!A:A,0),1))</f>
        <v>m2</v>
      </c>
      <c r="E3944" s="14"/>
      <c r="F3944" s="71" t="s">
        <v>17</v>
      </c>
      <c r="G3944" s="40" t="s">
        <v>1079</v>
      </c>
      <c r="H3944" s="16"/>
      <c r="I3944" s="16" t="str">
        <f>IF(ISNUMBER(G3944),E3944*G3944,"")</f>
        <v/>
      </c>
      <c r="J3944" s="17"/>
      <c r="K3944" s="18"/>
      <c r="L3944" s="174">
        <v>0</v>
      </c>
    </row>
    <row r="3945" spans="1:12" hidden="1" x14ac:dyDescent="0.25">
      <c r="A3945" s="186"/>
      <c r="B3945" s="179"/>
      <c r="C3945" s="20"/>
      <c r="D3945" s="20"/>
      <c r="E3945" s="21"/>
      <c r="F3945" s="22"/>
      <c r="G3945" s="46" t="s">
        <v>1079</v>
      </c>
      <c r="H3945" s="20"/>
      <c r="I3945" s="46" t="str">
        <f>IF(ISNUMBER(G3945),E3945*G3945,"")</f>
        <v/>
      </c>
      <c r="J3945" s="69"/>
      <c r="K3945" s="70"/>
      <c r="L3945" s="174">
        <v>0</v>
      </c>
    </row>
    <row r="3946" spans="1:12" ht="25.5" hidden="1" x14ac:dyDescent="0.25">
      <c r="A3946" s="186"/>
      <c r="B3946" s="179"/>
      <c r="C3946" s="25" t="s">
        <v>2302</v>
      </c>
      <c r="D3946" s="25" t="s">
        <v>1629</v>
      </c>
      <c r="E3946" s="26">
        <v>2</v>
      </c>
      <c r="F3946" s="26" t="s">
        <v>17</v>
      </c>
      <c r="G3946" s="46" t="s">
        <v>1079</v>
      </c>
      <c r="H3946" s="26" t="s">
        <v>33</v>
      </c>
      <c r="I3946" s="46" t="str">
        <f>IF(ISNUMBER(G3946),E3946*G3946,"")</f>
        <v/>
      </c>
      <c r="J3946" s="28">
        <f>SUM(I3946:I3947)</f>
        <v>0.98849399999999998</v>
      </c>
      <c r="K3946" s="29"/>
      <c r="L3946" s="174">
        <v>0</v>
      </c>
    </row>
    <row r="3947" spans="1:12" hidden="1" x14ac:dyDescent="0.25">
      <c r="A3947" s="186"/>
      <c r="B3947" s="179"/>
      <c r="C3947" s="25" t="s">
        <v>1367</v>
      </c>
      <c r="D3947" s="25" t="s">
        <v>1366</v>
      </c>
      <c r="E3947" s="26">
        <v>6.9000000000000006E-2</v>
      </c>
      <c r="F3947" s="26" t="s">
        <v>17</v>
      </c>
      <c r="G3947" s="46">
        <v>14.325999999999999</v>
      </c>
      <c r="H3947" s="27" t="s">
        <v>39</v>
      </c>
      <c r="I3947" s="46">
        <f>IF(ISNUMBER(G3947),E3947*G3947,"")</f>
        <v>0.98849399999999998</v>
      </c>
      <c r="J3947" s="69"/>
      <c r="K3947" s="70"/>
      <c r="L3947" s="174">
        <v>0</v>
      </c>
    </row>
    <row r="3948" spans="1:12" ht="15.75" hidden="1" thickBot="1" x14ac:dyDescent="0.3">
      <c r="A3948" s="186"/>
      <c r="B3948" s="179"/>
      <c r="C3948" s="47"/>
      <c r="D3948" s="47"/>
      <c r="E3948" s="60"/>
      <c r="F3948" s="61"/>
      <c r="G3948" s="73" t="s">
        <v>1079</v>
      </c>
      <c r="H3948" s="61"/>
      <c r="I3948" s="73" t="str">
        <f>IF(ISNUMBER(G3948),E3948*G3948,"")</f>
        <v/>
      </c>
      <c r="J3948" s="75"/>
      <c r="K3948" s="70"/>
      <c r="L3948" s="174">
        <v>0</v>
      </c>
    </row>
    <row r="3949" spans="1:12" ht="15.75" hidden="1" thickBot="1" x14ac:dyDescent="0.3">
      <c r="A3949" s="180" t="s">
        <v>2303</v>
      </c>
      <c r="B3949" s="178" t="str">
        <f>INDEX(Orçamentária!A:B,MATCH(Composições!A3949,Orçamentária!A:A,0),2)</f>
        <v>Pintura para superfícies galvanizadas</v>
      </c>
      <c r="C3949" s="30"/>
      <c r="D3949" s="13" t="str">
        <f>TRIM(INDEX(Orçamentária!C:C,MATCH(Composições!A3949,Orçamentária!A:A,0),1))</f>
        <v>m2</v>
      </c>
      <c r="E3949" s="14"/>
      <c r="F3949" s="15" t="s">
        <v>2304</v>
      </c>
      <c r="G3949" s="40" t="s">
        <v>1079</v>
      </c>
      <c r="H3949" s="16"/>
      <c r="I3949" s="16" t="str">
        <f>IF(ISNUMBER(G3949),E3949*G3949,"")</f>
        <v/>
      </c>
      <c r="J3949" s="17"/>
      <c r="K3949" s="18"/>
      <c r="L3949" s="174">
        <v>0</v>
      </c>
    </row>
    <row r="3950" spans="1:12" hidden="1" x14ac:dyDescent="0.25">
      <c r="A3950" s="186"/>
      <c r="B3950" s="179"/>
      <c r="C3950" s="20"/>
      <c r="D3950" s="20"/>
      <c r="E3950" s="21"/>
      <c r="F3950" s="22"/>
      <c r="G3950" s="46" t="s">
        <v>1079</v>
      </c>
      <c r="H3950" s="20"/>
      <c r="I3950" s="46" t="str">
        <f>IF(ISNUMBER(G3950),E3950*G3950,"")</f>
        <v/>
      </c>
      <c r="J3950" s="69"/>
      <c r="K3950" s="70"/>
      <c r="L3950" s="174">
        <v>0</v>
      </c>
    </row>
    <row r="3951" spans="1:12" hidden="1" x14ac:dyDescent="0.25">
      <c r="A3951" s="186"/>
      <c r="B3951" s="179"/>
      <c r="C3951" s="25" t="s">
        <v>2297</v>
      </c>
      <c r="D3951" s="25" t="s">
        <v>208</v>
      </c>
      <c r="E3951" s="26">
        <v>6.1899999999999997E-2</v>
      </c>
      <c r="F3951" s="27" t="s">
        <v>2305</v>
      </c>
      <c r="G3951" s="46">
        <v>10.7445</v>
      </c>
      <c r="H3951" s="27" t="s">
        <v>2298</v>
      </c>
      <c r="I3951" s="46">
        <f>IF(ISNUMBER(G3951),E3951*G3951,"")</f>
        <v>0.66508455</v>
      </c>
      <c r="J3951" s="28">
        <f>SUM(I3951:I3957)</f>
        <v>23.246906600000003</v>
      </c>
      <c r="K3951" s="29"/>
      <c r="L3951" s="174">
        <v>0</v>
      </c>
    </row>
    <row r="3952" spans="1:12" hidden="1" x14ac:dyDescent="0.25">
      <c r="A3952" s="186"/>
      <c r="B3952" s="179"/>
      <c r="C3952" s="25" t="s">
        <v>2306</v>
      </c>
      <c r="D3952" s="25" t="s">
        <v>434</v>
      </c>
      <c r="E3952" s="26">
        <v>1.15E-2</v>
      </c>
      <c r="F3952" s="27" t="s">
        <v>2305</v>
      </c>
      <c r="G3952" s="46">
        <v>431.57549999999998</v>
      </c>
      <c r="H3952" s="27" t="s">
        <v>2307</v>
      </c>
      <c r="I3952" s="46">
        <f>IF(ISNUMBER(G3952),E3952*G3952,"")</f>
        <v>4.96311825</v>
      </c>
      <c r="J3952" s="69"/>
      <c r="K3952" s="70"/>
      <c r="L3952" s="174">
        <v>0</v>
      </c>
    </row>
    <row r="3953" spans="1:12" hidden="1" x14ac:dyDescent="0.25">
      <c r="A3953" s="186"/>
      <c r="B3953" s="179"/>
      <c r="C3953" s="25" t="s">
        <v>1972</v>
      </c>
      <c r="D3953" s="25" t="s">
        <v>1366</v>
      </c>
      <c r="E3953" s="26">
        <v>0.52659999999999996</v>
      </c>
      <c r="F3953" s="27" t="s">
        <v>2305</v>
      </c>
      <c r="G3953" s="46">
        <v>20.196999999999999</v>
      </c>
      <c r="H3953" s="27" t="s">
        <v>206</v>
      </c>
      <c r="I3953" s="46">
        <f>IF(ISNUMBER(G3953),E3953*G3953,"")</f>
        <v>10.635740199999999</v>
      </c>
      <c r="J3953" s="69"/>
      <c r="K3953" s="70"/>
      <c r="L3953" s="174">
        <v>0</v>
      </c>
    </row>
    <row r="3954" spans="1:12" ht="38.25" hidden="1" x14ac:dyDescent="0.25">
      <c r="A3954" s="186"/>
      <c r="B3954" s="179"/>
      <c r="C3954" s="25" t="s">
        <v>2308</v>
      </c>
      <c r="D3954" s="25" t="s">
        <v>1694</v>
      </c>
      <c r="E3954" s="26">
        <v>0.37319999999999998</v>
      </c>
      <c r="F3954" s="27" t="s">
        <v>2305</v>
      </c>
      <c r="G3954" s="46">
        <v>0.11399999999999999</v>
      </c>
      <c r="H3954" s="27" t="s">
        <v>2309</v>
      </c>
      <c r="I3954" s="46">
        <f>IF(ISNUMBER(G3954),E3954*G3954,"")</f>
        <v>4.2544799999999994E-2</v>
      </c>
      <c r="J3954" s="69"/>
      <c r="K3954" s="70"/>
      <c r="L3954" s="174">
        <v>0</v>
      </c>
    </row>
    <row r="3955" spans="1:12" ht="38.25" hidden="1" x14ac:dyDescent="0.25">
      <c r="A3955" s="186"/>
      <c r="B3955" s="179"/>
      <c r="C3955" s="25" t="s">
        <v>2310</v>
      </c>
      <c r="D3955" s="25" t="s">
        <v>1691</v>
      </c>
      <c r="E3955" s="26">
        <v>0.15340000000000001</v>
      </c>
      <c r="F3955" s="27" t="s">
        <v>2305</v>
      </c>
      <c r="G3955" s="46">
        <v>0.96899999999999997</v>
      </c>
      <c r="H3955" s="27" t="s">
        <v>2311</v>
      </c>
      <c r="I3955" s="46">
        <f>IF(ISNUMBER(G3955),E3955*G3955,"")</f>
        <v>0.14864460000000002</v>
      </c>
      <c r="J3955" s="69"/>
      <c r="K3955" s="70"/>
      <c r="L3955" s="174">
        <v>0</v>
      </c>
    </row>
    <row r="3956" spans="1:12" hidden="1" x14ac:dyDescent="0.25">
      <c r="A3956" s="186"/>
      <c r="B3956" s="179"/>
      <c r="C3956" s="25" t="s">
        <v>2312</v>
      </c>
      <c r="D3956" s="25" t="s">
        <v>588</v>
      </c>
      <c r="E3956" s="26">
        <v>0.3</v>
      </c>
      <c r="F3956" s="27" t="s">
        <v>2313</v>
      </c>
      <c r="G3956" s="46">
        <v>2.5364999999999998</v>
      </c>
      <c r="H3956" s="27" t="s">
        <v>2314</v>
      </c>
      <c r="I3956" s="46">
        <f>IF(ISNUMBER(G3956),E3956*G3956,"")</f>
        <v>0.7609499999999999</v>
      </c>
      <c r="J3956" s="69"/>
      <c r="K3956" s="70"/>
      <c r="L3956" s="174">
        <v>0</v>
      </c>
    </row>
    <row r="3957" spans="1:12" hidden="1" x14ac:dyDescent="0.25">
      <c r="A3957" s="186"/>
      <c r="B3957" s="179"/>
      <c r="C3957" s="25" t="s">
        <v>1972</v>
      </c>
      <c r="D3957" s="25" t="s">
        <v>1366</v>
      </c>
      <c r="E3957" s="26">
        <v>0.29859999999999998</v>
      </c>
      <c r="F3957" s="27" t="s">
        <v>2313</v>
      </c>
      <c r="G3957" s="46">
        <v>20.196999999999999</v>
      </c>
      <c r="H3957" s="27" t="s">
        <v>206</v>
      </c>
      <c r="I3957" s="46">
        <f>IF(ISNUMBER(G3957),E3957*G3957,"")</f>
        <v>6.0308241999999996</v>
      </c>
      <c r="J3957" s="69"/>
      <c r="K3957" s="70"/>
      <c r="L3957" s="174">
        <v>0</v>
      </c>
    </row>
    <row r="3958" spans="1:12" ht="15.75" hidden="1" thickBot="1" x14ac:dyDescent="0.3">
      <c r="A3958" s="187"/>
      <c r="B3958" s="183"/>
      <c r="C3958" s="47"/>
      <c r="D3958" s="47"/>
      <c r="E3958" s="60"/>
      <c r="F3958" s="61"/>
      <c r="G3958" s="73" t="s">
        <v>1079</v>
      </c>
      <c r="H3958" s="61"/>
      <c r="I3958" s="73" t="str">
        <f>IF(ISNUMBER(G3958),E3958*G3958,"")</f>
        <v/>
      </c>
      <c r="J3958" s="75"/>
      <c r="K3958" s="70"/>
      <c r="L3958" s="174">
        <v>0</v>
      </c>
    </row>
    <row r="3959" spans="1:12" ht="15.75" hidden="1" thickBot="1" x14ac:dyDescent="0.3">
      <c r="A3959" s="180" t="s">
        <v>2315</v>
      </c>
      <c r="B3959" s="178" t="str">
        <f>INDEX(Orçamentária!A:B,MATCH(Composições!A3959,Orçamentária!A:A,0),2)</f>
        <v>Selagem ou resselagem de juntas em pavimentação de concreto armado</v>
      </c>
      <c r="C3959" s="30"/>
      <c r="D3959" s="13" t="str">
        <f>TRIM(INDEX(Orçamentária!C:C,MATCH(Composições!A3959,Orçamentária!A:A,0),1))</f>
        <v>m</v>
      </c>
      <c r="E3959" s="14"/>
      <c r="F3959" s="15" t="s">
        <v>2316</v>
      </c>
      <c r="G3959" s="40" t="s">
        <v>1079</v>
      </c>
      <c r="H3959" s="16"/>
      <c r="I3959" s="16" t="str">
        <f>IF(ISNUMBER(G3959),E3959*G3959,"")</f>
        <v/>
      </c>
      <c r="J3959" s="17"/>
      <c r="K3959" s="18"/>
      <c r="L3959" s="174">
        <v>0</v>
      </c>
    </row>
    <row r="3960" spans="1:12" hidden="1" x14ac:dyDescent="0.25">
      <c r="A3960" s="186"/>
      <c r="B3960" s="179"/>
      <c r="C3960" s="20"/>
      <c r="D3960" s="20"/>
      <c r="E3960" s="21"/>
      <c r="F3960" s="22"/>
      <c r="G3960" s="46" t="s">
        <v>1079</v>
      </c>
      <c r="H3960" s="20"/>
      <c r="I3960" s="46" t="str">
        <f>IF(ISNUMBER(G3960),E3960*G3960,"")</f>
        <v/>
      </c>
      <c r="J3960" s="69"/>
      <c r="K3960" s="70"/>
      <c r="L3960" s="174">
        <v>0</v>
      </c>
    </row>
    <row r="3961" spans="1:12" hidden="1" x14ac:dyDescent="0.25">
      <c r="A3961" s="186"/>
      <c r="B3961" s="179"/>
      <c r="C3961" s="25" t="s">
        <v>1367</v>
      </c>
      <c r="D3961" s="25" t="s">
        <v>21</v>
      </c>
      <c r="E3961" s="26">
        <f>ROUND(4/74.7,4)</f>
        <v>5.3499999999999999E-2</v>
      </c>
      <c r="F3961" s="27" t="s">
        <v>2317</v>
      </c>
      <c r="G3961" s="46">
        <v>14.325999999999999</v>
      </c>
      <c r="H3961" s="27" t="s">
        <v>39</v>
      </c>
      <c r="I3961" s="46">
        <f>IF(ISNUMBER(G3961),E3961*G3961,"")</f>
        <v>0.76644099999999993</v>
      </c>
      <c r="J3961" s="28">
        <f>SUM(I3961:I3966)</f>
        <v>6.205654599999999</v>
      </c>
      <c r="K3961" s="29"/>
      <c r="L3961" s="174">
        <v>0</v>
      </c>
    </row>
    <row r="3962" spans="1:12" hidden="1" x14ac:dyDescent="0.25">
      <c r="A3962" s="186"/>
      <c r="B3962" s="179"/>
      <c r="C3962" s="25" t="s">
        <v>2318</v>
      </c>
      <c r="D3962" s="25" t="s">
        <v>1691</v>
      </c>
      <c r="E3962" s="26">
        <f>ROUND(1/74.7,4)</f>
        <v>1.34E-2</v>
      </c>
      <c r="F3962" s="27" t="s">
        <v>2319</v>
      </c>
      <c r="G3962" s="46">
        <v>0</v>
      </c>
      <c r="H3962" s="27" t="s">
        <v>2320</v>
      </c>
      <c r="I3962" s="46">
        <f>IF(ISNUMBER(G3962),E3962*G3962,"")</f>
        <v>0</v>
      </c>
      <c r="J3962" s="69"/>
      <c r="K3962" s="70"/>
      <c r="L3962" s="174">
        <v>0</v>
      </c>
    </row>
    <row r="3963" spans="1:12" hidden="1" x14ac:dyDescent="0.25">
      <c r="A3963" s="186"/>
      <c r="B3963" s="179"/>
      <c r="C3963" s="25" t="s">
        <v>2321</v>
      </c>
      <c r="D3963" s="25" t="s">
        <v>1691</v>
      </c>
      <c r="E3963" s="26">
        <f>ROUND(1/74.7,4)</f>
        <v>1.34E-2</v>
      </c>
      <c r="F3963" s="27" t="s">
        <v>2319</v>
      </c>
      <c r="G3963" s="46">
        <v>0</v>
      </c>
      <c r="H3963" s="27" t="s">
        <v>2322</v>
      </c>
      <c r="I3963" s="46">
        <f>IF(ISNUMBER(G3963),E3963*G3963,"")</f>
        <v>0</v>
      </c>
      <c r="J3963" s="69"/>
      <c r="K3963" s="70"/>
      <c r="L3963" s="174">
        <v>0</v>
      </c>
    </row>
    <row r="3964" spans="1:12" hidden="1" x14ac:dyDescent="0.25">
      <c r="A3964" s="186"/>
      <c r="B3964" s="179"/>
      <c r="C3964" s="25" t="s">
        <v>2323</v>
      </c>
      <c r="D3964" s="25" t="s">
        <v>184</v>
      </c>
      <c r="E3964" s="26">
        <v>1</v>
      </c>
      <c r="F3964" s="27" t="s">
        <v>2319</v>
      </c>
      <c r="G3964" s="46">
        <v>0</v>
      </c>
      <c r="H3964" s="27" t="s">
        <v>2324</v>
      </c>
      <c r="I3964" s="46">
        <f>IF(ISNUMBER(G3964),E3964*G3964,"")</f>
        <v>0</v>
      </c>
      <c r="J3964" s="69"/>
      <c r="K3964" s="70"/>
      <c r="L3964" s="174">
        <v>0</v>
      </c>
    </row>
    <row r="3965" spans="1:12" hidden="1" x14ac:dyDescent="0.25">
      <c r="A3965" s="186"/>
      <c r="B3965" s="179"/>
      <c r="C3965" s="25" t="s">
        <v>2325</v>
      </c>
      <c r="D3965" s="25" t="s">
        <v>588</v>
      </c>
      <c r="E3965" s="26">
        <v>3.3E-3</v>
      </c>
      <c r="F3965" s="27" t="s">
        <v>2319</v>
      </c>
      <c r="G3965" s="46">
        <v>0</v>
      </c>
      <c r="H3965" s="27" t="s">
        <v>2326</v>
      </c>
      <c r="I3965" s="46">
        <f>IF(ISNUMBER(G3965),E3965*G3965,"")</f>
        <v>0</v>
      </c>
      <c r="J3965" s="69"/>
      <c r="K3965" s="70"/>
      <c r="L3965" s="174">
        <v>0</v>
      </c>
    </row>
    <row r="3966" spans="1:12" ht="25.5" hidden="1" x14ac:dyDescent="0.25">
      <c r="A3966" s="186"/>
      <c r="B3966" s="179"/>
      <c r="C3966" s="25" t="s">
        <v>2327</v>
      </c>
      <c r="D3966" s="25" t="s">
        <v>75</v>
      </c>
      <c r="E3966" s="26">
        <v>0.1181</v>
      </c>
      <c r="F3966" s="27" t="s">
        <v>2319</v>
      </c>
      <c r="G3966" s="46">
        <v>46.055999999999997</v>
      </c>
      <c r="H3966" s="27" t="s">
        <v>2328</v>
      </c>
      <c r="I3966" s="46">
        <f>IF(ISNUMBER(G3966),E3966*G3966,"")</f>
        <v>5.4392135999999995</v>
      </c>
      <c r="J3966" s="69"/>
      <c r="K3966" s="70"/>
      <c r="L3966" s="174">
        <v>0</v>
      </c>
    </row>
    <row r="3967" spans="1:12" ht="15.75" hidden="1" thickBot="1" x14ac:dyDescent="0.3">
      <c r="A3967" s="187"/>
      <c r="B3967" s="183"/>
      <c r="C3967" s="47"/>
      <c r="D3967" s="47"/>
      <c r="E3967" s="60"/>
      <c r="F3967" s="61"/>
      <c r="G3967" s="73" t="s">
        <v>1079</v>
      </c>
      <c r="H3967" s="61"/>
      <c r="I3967" s="73" t="str">
        <f>IF(ISNUMBER(G3967),E3967*G3967,"")</f>
        <v/>
      </c>
      <c r="J3967" s="75"/>
      <c r="K3967" s="70"/>
      <c r="L3967" s="174">
        <v>0</v>
      </c>
    </row>
    <row r="3968" spans="1:12" ht="15.75" hidden="1" thickBot="1" x14ac:dyDescent="0.3">
      <c r="A3968" s="180" t="s">
        <v>2329</v>
      </c>
      <c r="B3968" s="178" t="str">
        <f>INDEX(Orçamentária!A:B,MATCH(Composições!A3968,Orçamentária!A:A,0),2)</f>
        <v>Pavimentação em elementos intertravados de concreto</v>
      </c>
      <c r="C3968" s="30"/>
      <c r="D3968" s="13" t="str">
        <f>TRIM(INDEX(Orçamentária!C:C,MATCH(Composições!A3968,Orçamentária!A:A,0),1))</f>
        <v>m2</v>
      </c>
      <c r="E3968" s="14"/>
      <c r="F3968" s="15" t="s">
        <v>2330</v>
      </c>
      <c r="G3968" s="40" t="s">
        <v>1079</v>
      </c>
      <c r="H3968" s="16"/>
      <c r="I3968" s="16" t="str">
        <f>IF(ISNUMBER(G3968),E3968*G3968,"")</f>
        <v/>
      </c>
      <c r="J3968" s="17"/>
      <c r="K3968" s="18"/>
      <c r="L3968" s="174">
        <v>0</v>
      </c>
    </row>
    <row r="3969" spans="1:12" hidden="1" x14ac:dyDescent="0.25">
      <c r="A3969" s="186"/>
      <c r="B3969" s="179"/>
      <c r="C3969" s="20"/>
      <c r="D3969" s="20"/>
      <c r="E3969" s="21"/>
      <c r="F3969" s="22"/>
      <c r="G3969" s="46" t="s">
        <v>1079</v>
      </c>
      <c r="H3969" s="20"/>
      <c r="I3969" s="46" t="str">
        <f>IF(ISNUMBER(G3969),E3969*G3969,"")</f>
        <v/>
      </c>
      <c r="J3969" s="69"/>
      <c r="K3969" s="70"/>
      <c r="L3969" s="174">
        <v>0</v>
      </c>
    </row>
    <row r="3970" spans="1:12" ht="25.5" hidden="1" x14ac:dyDescent="0.25">
      <c r="A3970" s="186"/>
      <c r="B3970" s="179"/>
      <c r="C3970" s="25" t="s">
        <v>1455</v>
      </c>
      <c r="D3970" s="25" t="s">
        <v>252</v>
      </c>
      <c r="E3970" s="26">
        <v>5.6800000000000003E-2</v>
      </c>
      <c r="F3970" s="27" t="s">
        <v>2331</v>
      </c>
      <c r="G3970" s="46">
        <v>93.8125</v>
      </c>
      <c r="H3970" s="27" t="s">
        <v>240</v>
      </c>
      <c r="I3970" s="46">
        <f>IF(ISNUMBER(G3970),E3970*G3970,"")</f>
        <v>5.3285499999999999</v>
      </c>
      <c r="J3970" s="28">
        <f>SUM(I3970:I3980)</f>
        <v>45.016446273999996</v>
      </c>
      <c r="K3970" s="29"/>
      <c r="L3970" s="174">
        <v>0</v>
      </c>
    </row>
    <row r="3971" spans="1:12" hidden="1" x14ac:dyDescent="0.25">
      <c r="A3971" s="186"/>
      <c r="B3971" s="179"/>
      <c r="C3971" s="25" t="s">
        <v>2332</v>
      </c>
      <c r="D3971" s="25" t="s">
        <v>252</v>
      </c>
      <c r="E3971" s="26">
        <v>3.5999999999999999E-3</v>
      </c>
      <c r="F3971" s="27" t="s">
        <v>2331</v>
      </c>
      <c r="G3971" s="46">
        <v>59.261000000000003</v>
      </c>
      <c r="H3971" s="27" t="s">
        <v>2333</v>
      </c>
      <c r="I3971" s="46">
        <f>IF(ISNUMBER(G3971),E3971*G3971,"")</f>
        <v>0.21333959999999999</v>
      </c>
      <c r="J3971" s="69"/>
      <c r="K3971" s="70"/>
      <c r="L3971" s="174">
        <v>0</v>
      </c>
    </row>
    <row r="3972" spans="1:12" ht="38.25" hidden="1" x14ac:dyDescent="0.25">
      <c r="A3972" s="186"/>
      <c r="B3972" s="179"/>
      <c r="C3972" s="25" t="s">
        <v>2334</v>
      </c>
      <c r="D3972" s="25" t="s">
        <v>1795</v>
      </c>
      <c r="E3972" s="26">
        <v>1.0042</v>
      </c>
      <c r="F3972" s="27" t="s">
        <v>2331</v>
      </c>
      <c r="G3972" s="46">
        <v>34.7605</v>
      </c>
      <c r="H3972" s="27" t="s">
        <v>2335</v>
      </c>
      <c r="I3972" s="46">
        <f>IF(ISNUMBER(G3972),E3972*G3972,"")</f>
        <v>34.906494100000003</v>
      </c>
      <c r="J3972" s="69"/>
      <c r="K3972" s="70"/>
      <c r="L3972" s="174">
        <v>0</v>
      </c>
    </row>
    <row r="3973" spans="1:12" hidden="1" x14ac:dyDescent="0.25">
      <c r="A3973" s="186"/>
      <c r="B3973" s="179"/>
      <c r="C3973" s="25" t="s">
        <v>2336</v>
      </c>
      <c r="D3973" s="25" t="s">
        <v>1366</v>
      </c>
      <c r="E3973" s="26">
        <v>9.7000000000000003E-2</v>
      </c>
      <c r="F3973" s="27" t="s">
        <v>2331</v>
      </c>
      <c r="G3973" s="46">
        <v>18.030999999999999</v>
      </c>
      <c r="H3973" s="27" t="s">
        <v>2337</v>
      </c>
      <c r="I3973" s="46">
        <f>IF(ISNUMBER(G3973),E3973*G3973,"")</f>
        <v>1.749007</v>
      </c>
      <c r="J3973" s="69"/>
      <c r="K3973" s="70"/>
      <c r="L3973" s="174">
        <v>0</v>
      </c>
    </row>
    <row r="3974" spans="1:12" hidden="1" x14ac:dyDescent="0.25">
      <c r="A3974" s="186"/>
      <c r="B3974" s="179"/>
      <c r="C3974" s="25" t="s">
        <v>1367</v>
      </c>
      <c r="D3974" s="25" t="s">
        <v>1366</v>
      </c>
      <c r="E3974" s="26">
        <v>9.7000000000000003E-2</v>
      </c>
      <c r="F3974" s="27" t="s">
        <v>2331</v>
      </c>
      <c r="G3974" s="46">
        <v>14.325999999999999</v>
      </c>
      <c r="H3974" s="27" t="s">
        <v>39</v>
      </c>
      <c r="I3974" s="46">
        <f>IF(ISNUMBER(G3974),E3974*G3974,"")</f>
        <v>1.3896219999999999</v>
      </c>
      <c r="J3974" s="69"/>
      <c r="K3974" s="70"/>
      <c r="L3974" s="174">
        <v>0</v>
      </c>
    </row>
    <row r="3975" spans="1:12" ht="38.25" hidden="1" x14ac:dyDescent="0.25">
      <c r="A3975" s="186"/>
      <c r="B3975" s="179"/>
      <c r="C3975" s="25" t="s">
        <v>1988</v>
      </c>
      <c r="D3975" s="25" t="s">
        <v>1691</v>
      </c>
      <c r="E3975" s="26">
        <v>4.1000000000000003E-3</v>
      </c>
      <c r="F3975" s="27" t="s">
        <v>2331</v>
      </c>
      <c r="G3975" s="46">
        <v>6.2889999999999997</v>
      </c>
      <c r="H3975" s="27" t="s">
        <v>1989</v>
      </c>
      <c r="I3975" s="46">
        <f>IF(ISNUMBER(G3975),E3975*G3975,"")</f>
        <v>2.5784899999999999E-2</v>
      </c>
      <c r="J3975" s="69"/>
      <c r="K3975" s="70"/>
      <c r="L3975" s="174">
        <v>0</v>
      </c>
    </row>
    <row r="3976" spans="1:12" ht="38.25" hidden="1" x14ac:dyDescent="0.25">
      <c r="A3976" s="186"/>
      <c r="B3976" s="179"/>
      <c r="C3976" s="25" t="s">
        <v>2338</v>
      </c>
      <c r="D3976" s="25" t="s">
        <v>1694</v>
      </c>
      <c r="E3976" s="26">
        <v>4.4400000000000002E-2</v>
      </c>
      <c r="F3976" s="27" t="s">
        <v>2331</v>
      </c>
      <c r="G3976" s="46">
        <v>0.69350000000000001</v>
      </c>
      <c r="H3976" s="27" t="s">
        <v>2339</v>
      </c>
      <c r="I3976" s="46">
        <f>IF(ISNUMBER(G3976),E3976*G3976,"")</f>
        <v>3.07914E-2</v>
      </c>
      <c r="J3976" s="69"/>
      <c r="K3976" s="70"/>
      <c r="L3976" s="174">
        <v>0</v>
      </c>
    </row>
    <row r="3977" spans="1:12" ht="51" hidden="1" x14ac:dyDescent="0.25">
      <c r="A3977" s="186"/>
      <c r="B3977" s="179"/>
      <c r="C3977" s="25" t="s">
        <v>2340</v>
      </c>
      <c r="D3977" s="25" t="s">
        <v>1691</v>
      </c>
      <c r="E3977" s="26">
        <v>3.7000000000000002E-3</v>
      </c>
      <c r="F3977" s="27" t="s">
        <v>2331</v>
      </c>
      <c r="G3977" s="46">
        <v>12.977</v>
      </c>
      <c r="H3977" s="27" t="s">
        <v>2341</v>
      </c>
      <c r="I3977" s="46">
        <f>IF(ISNUMBER(G3977),E3977*G3977,"")</f>
        <v>4.8014900000000006E-2</v>
      </c>
      <c r="J3977" s="69"/>
      <c r="K3977" s="70"/>
      <c r="L3977" s="174">
        <v>0</v>
      </c>
    </row>
    <row r="3978" spans="1:12" ht="51" hidden="1" x14ac:dyDescent="0.25">
      <c r="A3978" s="186"/>
      <c r="B3978" s="179"/>
      <c r="C3978" s="25" t="s">
        <v>2342</v>
      </c>
      <c r="D3978" s="25" t="s">
        <v>1694</v>
      </c>
      <c r="E3978" s="26">
        <v>4.48E-2</v>
      </c>
      <c r="F3978" s="27" t="s">
        <v>2331</v>
      </c>
      <c r="G3978" s="46">
        <v>0.67449999999999999</v>
      </c>
      <c r="H3978" s="27" t="s">
        <v>2343</v>
      </c>
      <c r="I3978" s="46">
        <f>IF(ISNUMBER(G3978),E3978*G3978,"")</f>
        <v>3.0217600000000001E-2</v>
      </c>
      <c r="J3978" s="69"/>
      <c r="K3978" s="70"/>
      <c r="L3978" s="174">
        <v>0</v>
      </c>
    </row>
    <row r="3979" spans="1:12" ht="38.25" hidden="1" x14ac:dyDescent="0.25">
      <c r="A3979" s="186"/>
      <c r="B3979" s="179"/>
      <c r="C3979" s="25" t="s">
        <v>251</v>
      </c>
      <c r="D3979" s="25" t="s">
        <v>228</v>
      </c>
      <c r="E3979" s="26">
        <f>1*(E3970+E3971)</f>
        <v>6.0400000000000002E-2</v>
      </c>
      <c r="F3979" s="27" t="s">
        <v>17</v>
      </c>
      <c r="G3979" s="23">
        <v>0.72471700000000006</v>
      </c>
      <c r="H3979" s="27" t="s">
        <v>253</v>
      </c>
      <c r="I3979" s="23">
        <f>IF(ISNUMBER(G3979),E3979*G3979,"")</f>
        <v>4.3772906800000004E-2</v>
      </c>
      <c r="J3979" s="24"/>
      <c r="K3979" s="19"/>
      <c r="L3979" s="174">
        <v>0</v>
      </c>
    </row>
    <row r="3980" spans="1:12" ht="38.25" hidden="1" x14ac:dyDescent="0.25">
      <c r="A3980" s="186"/>
      <c r="B3980" s="179"/>
      <c r="C3980" s="25" t="s">
        <v>254</v>
      </c>
      <c r="D3980" s="25" t="s">
        <v>255</v>
      </c>
      <c r="E3980" s="26">
        <f>20*(E3970+E3971)</f>
        <v>1.208</v>
      </c>
      <c r="F3980" s="27" t="s">
        <v>17</v>
      </c>
      <c r="G3980" s="46">
        <v>1.0354733999999999</v>
      </c>
      <c r="H3980" s="27" t="s">
        <v>256</v>
      </c>
      <c r="I3980" s="46">
        <f>IF(ISNUMBER(G3980),E3980*G3980,"")</f>
        <v>1.2508518671999997</v>
      </c>
      <c r="J3980" s="69"/>
      <c r="K3980" s="70"/>
      <c r="L3980" s="174">
        <v>0</v>
      </c>
    </row>
    <row r="3981" spans="1:12" hidden="1" x14ac:dyDescent="0.25">
      <c r="A3981" s="186"/>
      <c r="B3981" s="179"/>
      <c r="C3981" s="25"/>
      <c r="D3981" s="25"/>
      <c r="E3981" s="26"/>
      <c r="F3981" s="27"/>
      <c r="G3981" s="46" t="s">
        <v>1079</v>
      </c>
      <c r="H3981" s="27"/>
      <c r="I3981" s="46" t="str">
        <f>IF(ISNUMBER(G3981),E3981*G3981,"")</f>
        <v/>
      </c>
      <c r="J3981" s="69"/>
      <c r="K3981" s="70"/>
      <c r="L3981" s="174">
        <v>0</v>
      </c>
    </row>
    <row r="3982" spans="1:12" ht="25.5" hidden="1" x14ac:dyDescent="0.25">
      <c r="A3982" s="186"/>
      <c r="B3982" s="179"/>
      <c r="C3982" s="39" t="s">
        <v>2344</v>
      </c>
      <c r="D3982" s="25"/>
      <c r="E3982" s="26"/>
      <c r="F3982" s="27"/>
      <c r="G3982" s="46" t="s">
        <v>1079</v>
      </c>
      <c r="H3982" s="27"/>
      <c r="I3982" s="46" t="str">
        <f>IF(ISNUMBER(G3982),E3982*G3982,"")</f>
        <v/>
      </c>
      <c r="J3982" s="69"/>
      <c r="K3982" s="70"/>
      <c r="L3982" s="174">
        <v>0</v>
      </c>
    </row>
    <row r="3983" spans="1:12" ht="15.75" hidden="1" thickBot="1" x14ac:dyDescent="0.3">
      <c r="A3983" s="187"/>
      <c r="B3983" s="183"/>
      <c r="C3983" s="47"/>
      <c r="D3983" s="47"/>
      <c r="E3983" s="60"/>
      <c r="F3983" s="61"/>
      <c r="G3983" s="73" t="s">
        <v>1079</v>
      </c>
      <c r="H3983" s="61"/>
      <c r="I3983" s="73" t="str">
        <f>IF(ISNUMBER(G3983),E3983*G3983,"")</f>
        <v/>
      </c>
      <c r="J3983" s="75"/>
      <c r="K3983" s="70"/>
      <c r="L3983" s="174">
        <v>0</v>
      </c>
    </row>
    <row r="3984" spans="1:12" ht="15.75" hidden="1" thickBot="1" x14ac:dyDescent="0.3">
      <c r="A3984" s="180" t="s">
        <v>2345</v>
      </c>
      <c r="B3984" s="178" t="str">
        <f>INDEX(Orçamentária!A:B,MATCH(Composições!A3984,Orçamentária!A:A,0),2)</f>
        <v>Pavimentação com Asfalto Pré-Misturado a Frio (PMF)</v>
      </c>
      <c r="C3984" s="30"/>
      <c r="D3984" s="13" t="str">
        <f>TRIM(INDEX(Orçamentária!C:C,MATCH(Composições!A3984,Orçamentária!A:A,0),1))</f>
        <v>m3</v>
      </c>
      <c r="E3984" s="14"/>
      <c r="F3984" s="15" t="s">
        <v>2346</v>
      </c>
      <c r="G3984" s="40" t="s">
        <v>1079</v>
      </c>
      <c r="H3984" s="16"/>
      <c r="I3984" s="16" t="str">
        <f>IF(ISNUMBER(G3984),E3984*G3984,"")</f>
        <v/>
      </c>
      <c r="J3984" s="17"/>
      <c r="K3984" s="18"/>
      <c r="L3984" s="174">
        <v>0</v>
      </c>
    </row>
    <row r="3985" spans="1:12" hidden="1" x14ac:dyDescent="0.25">
      <c r="A3985" s="186"/>
      <c r="B3985" s="179"/>
      <c r="C3985" s="20"/>
      <c r="D3985" s="20"/>
      <c r="E3985" s="21"/>
      <c r="F3985" s="22"/>
      <c r="G3985" s="46" t="s">
        <v>1079</v>
      </c>
      <c r="H3985" s="20"/>
      <c r="I3985" s="46" t="str">
        <f>IF(ISNUMBER(G3985),E3985*G3985,"")</f>
        <v/>
      </c>
      <c r="J3985" s="69"/>
      <c r="K3985" s="70"/>
      <c r="L3985" s="174">
        <v>0</v>
      </c>
    </row>
    <row r="3986" spans="1:12" hidden="1" x14ac:dyDescent="0.25">
      <c r="A3986" s="186"/>
      <c r="B3986" s="179"/>
      <c r="C3986" s="25" t="s">
        <v>1367</v>
      </c>
      <c r="D3986" s="25" t="s">
        <v>1366</v>
      </c>
      <c r="E3986" s="26">
        <v>0.4</v>
      </c>
      <c r="F3986" s="27" t="s">
        <v>2347</v>
      </c>
      <c r="G3986" s="46">
        <v>14.325999999999999</v>
      </c>
      <c r="H3986" s="27" t="s">
        <v>39</v>
      </c>
      <c r="I3986" s="46">
        <f>IF(ISNUMBER(G3986),E3986*G3986,"")</f>
        <v>5.7303999999999995</v>
      </c>
      <c r="J3986" s="28">
        <f>SUM(I3986:I4007)</f>
        <v>502.21270724999994</v>
      </c>
      <c r="K3986" s="29"/>
      <c r="L3986" s="174">
        <v>0</v>
      </c>
    </row>
    <row r="3987" spans="1:12" ht="38.25" hidden="1" x14ac:dyDescent="0.25">
      <c r="A3987" s="186"/>
      <c r="B3987" s="179"/>
      <c r="C3987" s="25" t="s">
        <v>2348</v>
      </c>
      <c r="D3987" s="25" t="s">
        <v>1694</v>
      </c>
      <c r="E3987" s="26">
        <v>6.0000000000000001E-3</v>
      </c>
      <c r="F3987" s="27" t="s">
        <v>2347</v>
      </c>
      <c r="G3987" s="46">
        <v>43.51</v>
      </c>
      <c r="H3987" s="27" t="s">
        <v>2349</v>
      </c>
      <c r="I3987" s="46">
        <f>IF(ISNUMBER(G3987),E3987*G3987,"")</f>
        <v>0.26106000000000001</v>
      </c>
      <c r="J3987" s="69"/>
      <c r="K3987" s="70"/>
      <c r="L3987" s="174">
        <v>0</v>
      </c>
    </row>
    <row r="3988" spans="1:12" ht="38.25" hidden="1" x14ac:dyDescent="0.25">
      <c r="A3988" s="186"/>
      <c r="B3988" s="179"/>
      <c r="C3988" s="25" t="s">
        <v>2350</v>
      </c>
      <c r="D3988" s="25" t="s">
        <v>1691</v>
      </c>
      <c r="E3988" s="26">
        <v>1.0699999999999999E-2</v>
      </c>
      <c r="F3988" s="27" t="s">
        <v>2347</v>
      </c>
      <c r="G3988" s="46">
        <v>106.05799999999999</v>
      </c>
      <c r="H3988" s="27" t="s">
        <v>2351</v>
      </c>
      <c r="I3988" s="46">
        <f>IF(ISNUMBER(G3988),E3988*G3988,"")</f>
        <v>1.1348205999999998</v>
      </c>
      <c r="J3988" s="69"/>
      <c r="K3988" s="70"/>
      <c r="L3988" s="174">
        <v>0</v>
      </c>
    </row>
    <row r="3989" spans="1:12" ht="38.25" hidden="1" x14ac:dyDescent="0.25">
      <c r="A3989" s="186"/>
      <c r="B3989" s="179"/>
      <c r="C3989" s="25" t="s">
        <v>2352</v>
      </c>
      <c r="D3989" s="25" t="s">
        <v>1691</v>
      </c>
      <c r="E3989" s="26">
        <v>6.1999999999999998E-3</v>
      </c>
      <c r="F3989" s="27" t="s">
        <v>2347</v>
      </c>
      <c r="G3989" s="46">
        <v>112.66999999999999</v>
      </c>
      <c r="H3989" s="27" t="s">
        <v>2353</v>
      </c>
      <c r="I3989" s="46">
        <f>IF(ISNUMBER(G3989),E3989*G3989,"")</f>
        <v>0.6985539999999999</v>
      </c>
      <c r="J3989" s="69"/>
      <c r="K3989" s="70"/>
      <c r="L3989" s="174">
        <v>0</v>
      </c>
    </row>
    <row r="3990" spans="1:12" ht="38.25" hidden="1" x14ac:dyDescent="0.25">
      <c r="A3990" s="186"/>
      <c r="B3990" s="179"/>
      <c r="C3990" s="25" t="s">
        <v>2354</v>
      </c>
      <c r="D3990" s="25" t="s">
        <v>1694</v>
      </c>
      <c r="E3990" s="26">
        <v>1.0500000000000001E-2</v>
      </c>
      <c r="F3990" s="27" t="s">
        <v>2347</v>
      </c>
      <c r="G3990" s="46">
        <v>40.716999999999999</v>
      </c>
      <c r="H3990" s="27" t="s">
        <v>2355</v>
      </c>
      <c r="I3990" s="46">
        <f>IF(ISNUMBER(G3990),E3990*G3990,"")</f>
        <v>0.42752850000000003</v>
      </c>
      <c r="J3990" s="69"/>
      <c r="K3990" s="70"/>
      <c r="L3990" s="174">
        <v>0</v>
      </c>
    </row>
    <row r="3991" spans="1:12" ht="25.5" hidden="1" x14ac:dyDescent="0.25">
      <c r="A3991" s="186"/>
      <c r="B3991" s="179"/>
      <c r="C3991" s="25" t="s">
        <v>2356</v>
      </c>
      <c r="D3991" s="25" t="s">
        <v>1694</v>
      </c>
      <c r="E3991" s="26">
        <v>1.2200000000000001E-2</v>
      </c>
      <c r="F3991" s="27" t="s">
        <v>2347</v>
      </c>
      <c r="G3991" s="46">
        <v>23.179999999999996</v>
      </c>
      <c r="H3991" s="27" t="s">
        <v>2357</v>
      </c>
      <c r="I3991" s="46">
        <f>IF(ISNUMBER(G3991),E3991*G3991,"")</f>
        <v>0.28279599999999999</v>
      </c>
      <c r="J3991" s="69"/>
      <c r="K3991" s="70"/>
      <c r="L3991" s="174">
        <v>0</v>
      </c>
    </row>
    <row r="3992" spans="1:12" ht="25.5" hidden="1" x14ac:dyDescent="0.25">
      <c r="A3992" s="186"/>
      <c r="B3992" s="179"/>
      <c r="C3992" s="25" t="s">
        <v>2358</v>
      </c>
      <c r="D3992" s="25" t="s">
        <v>1691</v>
      </c>
      <c r="E3992" s="26">
        <v>4.4999999999999997E-3</v>
      </c>
      <c r="F3992" s="27" t="s">
        <v>2347</v>
      </c>
      <c r="G3992" s="46">
        <v>89.774999999999991</v>
      </c>
      <c r="H3992" s="27" t="s">
        <v>2359</v>
      </c>
      <c r="I3992" s="46">
        <f>IF(ISNUMBER(G3992),E3992*G3992,"")</f>
        <v>0.40398749999999994</v>
      </c>
      <c r="J3992" s="69"/>
      <c r="K3992" s="70"/>
      <c r="L3992" s="174">
        <v>0</v>
      </c>
    </row>
    <row r="3993" spans="1:12" ht="25.5" hidden="1" x14ac:dyDescent="0.25">
      <c r="A3993" s="186"/>
      <c r="B3993" s="179"/>
      <c r="C3993" s="25" t="s">
        <v>2360</v>
      </c>
      <c r="D3993" s="25" t="s">
        <v>1694</v>
      </c>
      <c r="E3993" s="26">
        <v>1.2200000000000001E-2</v>
      </c>
      <c r="F3993" s="27" t="s">
        <v>2347</v>
      </c>
      <c r="G3993" s="46">
        <v>2.1659999999999999</v>
      </c>
      <c r="H3993" s="27" t="s">
        <v>2361</v>
      </c>
      <c r="I3993" s="46">
        <f>IF(ISNUMBER(G3993),E3993*G3993,"")</f>
        <v>2.6425199999999999E-2</v>
      </c>
      <c r="J3993" s="69"/>
      <c r="K3993" s="70"/>
      <c r="L3993" s="174">
        <v>0</v>
      </c>
    </row>
    <row r="3994" spans="1:12" ht="38.25" hidden="1" x14ac:dyDescent="0.25">
      <c r="A3994" s="186"/>
      <c r="B3994" s="179"/>
      <c r="C3994" s="25" t="s">
        <v>2362</v>
      </c>
      <c r="D3994" s="25" t="s">
        <v>1691</v>
      </c>
      <c r="E3994" s="26">
        <v>4.4999999999999997E-3</v>
      </c>
      <c r="F3994" s="27" t="s">
        <v>2347</v>
      </c>
      <c r="G3994" s="46">
        <v>4.5504999999999995</v>
      </c>
      <c r="H3994" s="27" t="s">
        <v>2363</v>
      </c>
      <c r="I3994" s="46">
        <f>IF(ISNUMBER(G3994),E3994*G3994,"")</f>
        <v>2.0477249999999995E-2</v>
      </c>
      <c r="J3994" s="69"/>
      <c r="K3994" s="70"/>
      <c r="L3994" s="174">
        <v>0</v>
      </c>
    </row>
    <row r="3995" spans="1:12" ht="38.25" hidden="1" x14ac:dyDescent="0.25">
      <c r="A3995" s="186"/>
      <c r="B3995" s="179"/>
      <c r="C3995" s="25" t="s">
        <v>2364</v>
      </c>
      <c r="D3995" s="25" t="s">
        <v>1691</v>
      </c>
      <c r="E3995" s="26">
        <v>1.67E-2</v>
      </c>
      <c r="F3995" s="27" t="s">
        <v>2347</v>
      </c>
      <c r="G3995" s="46">
        <v>235.619</v>
      </c>
      <c r="H3995" s="27" t="s">
        <v>2365</v>
      </c>
      <c r="I3995" s="46">
        <f>IF(ISNUMBER(G3995),E3995*G3995,"")</f>
        <v>3.9348372999999999</v>
      </c>
      <c r="J3995" s="69"/>
      <c r="K3995" s="70"/>
      <c r="L3995" s="174">
        <v>0</v>
      </c>
    </row>
    <row r="3996" spans="1:12" ht="38.25" hidden="1" x14ac:dyDescent="0.25">
      <c r="A3996" s="186"/>
      <c r="B3996" s="179"/>
      <c r="C3996" s="25" t="s">
        <v>2366</v>
      </c>
      <c r="D3996" s="25" t="s">
        <v>1691</v>
      </c>
      <c r="E3996" s="26">
        <v>2.7199999999999998E-2</v>
      </c>
      <c r="F3996" s="27" t="s">
        <v>2347</v>
      </c>
      <c r="G3996" s="46">
        <v>135.23249999999999</v>
      </c>
      <c r="H3996" s="27" t="s">
        <v>2367</v>
      </c>
      <c r="I3996" s="46">
        <f>IF(ISNUMBER(G3996),E3996*G3996,"")</f>
        <v>3.6783239999999995</v>
      </c>
      <c r="J3996" s="69"/>
      <c r="K3996" s="70"/>
      <c r="L3996" s="174">
        <v>0</v>
      </c>
    </row>
    <row r="3997" spans="1:12" hidden="1" x14ac:dyDescent="0.25">
      <c r="A3997" s="186"/>
      <c r="B3997" s="179"/>
      <c r="C3997" s="25" t="s">
        <v>1367</v>
      </c>
      <c r="D3997" s="25" t="s">
        <v>1366</v>
      </c>
      <c r="E3997" s="26">
        <v>0.3</v>
      </c>
      <c r="F3997" s="27" t="s">
        <v>2368</v>
      </c>
      <c r="G3997" s="46">
        <v>14.325999999999999</v>
      </c>
      <c r="H3997" s="27" t="s">
        <v>39</v>
      </c>
      <c r="I3997" s="46">
        <f>IF(ISNUMBER(G3997),E3997*G3997,"")</f>
        <v>4.2977999999999996</v>
      </c>
      <c r="J3997" s="69"/>
      <c r="K3997" s="70"/>
      <c r="L3997" s="174">
        <v>0</v>
      </c>
    </row>
    <row r="3998" spans="1:12" ht="25.5" hidden="1" x14ac:dyDescent="0.25">
      <c r="A3998" s="186"/>
      <c r="B3998" s="179"/>
      <c r="C3998" s="25" t="s">
        <v>2369</v>
      </c>
      <c r="D3998" s="25" t="s">
        <v>228</v>
      </c>
      <c r="E3998" s="26">
        <v>0.18</v>
      </c>
      <c r="F3998" s="27" t="s">
        <v>2368</v>
      </c>
      <c r="G3998" s="46">
        <v>100.8425</v>
      </c>
      <c r="H3998" s="27" t="s">
        <v>2370</v>
      </c>
      <c r="I3998" s="46">
        <f>IF(ISNUMBER(G3998),E3998*G3998,"")</f>
        <v>18.15165</v>
      </c>
      <c r="J3998" s="69"/>
      <c r="K3998" s="70"/>
      <c r="L3998" s="174">
        <v>0</v>
      </c>
    </row>
    <row r="3999" spans="1:12" ht="25.5" hidden="1" x14ac:dyDescent="0.25">
      <c r="A3999" s="186"/>
      <c r="B3999" s="179"/>
      <c r="C3999" s="25" t="s">
        <v>1461</v>
      </c>
      <c r="D3999" s="25" t="s">
        <v>228</v>
      </c>
      <c r="E3999" s="26">
        <v>1.26</v>
      </c>
      <c r="F3999" s="27" t="s">
        <v>2368</v>
      </c>
      <c r="G3999" s="46">
        <v>79.268000000000001</v>
      </c>
      <c r="H3999" s="27" t="s">
        <v>1462</v>
      </c>
      <c r="I3999" s="46">
        <f>IF(ISNUMBER(G3999),E3999*G3999,"")</f>
        <v>99.877679999999998</v>
      </c>
      <c r="J3999" s="69"/>
      <c r="K3999" s="70"/>
      <c r="L3999" s="174">
        <v>0</v>
      </c>
    </row>
    <row r="4000" spans="1:12" ht="38.25" hidden="1" x14ac:dyDescent="0.25">
      <c r="A4000" s="186"/>
      <c r="B4000" s="179"/>
      <c r="C4000" s="25" t="s">
        <v>2371</v>
      </c>
      <c r="D4000" s="25" t="s">
        <v>2372</v>
      </c>
      <c r="E4000" s="26">
        <v>0.14000000000000001</v>
      </c>
      <c r="F4000" s="27" t="s">
        <v>2368</v>
      </c>
      <c r="G4000" s="46">
        <v>2199.1074999999996</v>
      </c>
      <c r="H4000" s="27" t="s">
        <v>2373</v>
      </c>
      <c r="I4000" s="46">
        <f>IF(ISNUMBER(G4000),E4000*G4000,"")</f>
        <v>307.87504999999999</v>
      </c>
      <c r="J4000" s="69"/>
      <c r="K4000" s="70"/>
      <c r="L4000" s="174">
        <v>0</v>
      </c>
    </row>
    <row r="4001" spans="1:12" ht="25.5" hidden="1" x14ac:dyDescent="0.25">
      <c r="A4001" s="186"/>
      <c r="B4001" s="179"/>
      <c r="C4001" s="25" t="s">
        <v>2374</v>
      </c>
      <c r="D4001" s="25" t="s">
        <v>1691</v>
      </c>
      <c r="E4001" s="26">
        <v>0.05</v>
      </c>
      <c r="F4001" s="27" t="s">
        <v>2368</v>
      </c>
      <c r="G4001" s="46">
        <v>86.326499999999996</v>
      </c>
      <c r="H4001" s="27" t="s">
        <v>2375</v>
      </c>
      <c r="I4001" s="46">
        <f>IF(ISNUMBER(G4001),E4001*G4001,"")</f>
        <v>4.316325</v>
      </c>
      <c r="J4001" s="69"/>
      <c r="K4001" s="70"/>
      <c r="L4001" s="174">
        <v>0</v>
      </c>
    </row>
    <row r="4002" spans="1:12" ht="38.25" hidden="1" x14ac:dyDescent="0.25">
      <c r="A4002" s="186"/>
      <c r="B4002" s="179"/>
      <c r="C4002" s="25" t="s">
        <v>2376</v>
      </c>
      <c r="D4002" s="25" t="s">
        <v>1691</v>
      </c>
      <c r="E4002" s="26">
        <v>2.1000000000000001E-2</v>
      </c>
      <c r="F4002" s="27" t="s">
        <v>2368</v>
      </c>
      <c r="G4002" s="46">
        <v>118.72149999999999</v>
      </c>
      <c r="H4002" s="27" t="s">
        <v>2377</v>
      </c>
      <c r="I4002" s="46">
        <f>IF(ISNUMBER(G4002),E4002*G4002,"")</f>
        <v>2.4931515000000002</v>
      </c>
      <c r="J4002" s="69"/>
      <c r="K4002" s="70"/>
      <c r="L4002" s="174">
        <v>0</v>
      </c>
    </row>
    <row r="4003" spans="1:12" ht="38.25" hidden="1" x14ac:dyDescent="0.25">
      <c r="A4003" s="186"/>
      <c r="B4003" s="179"/>
      <c r="C4003" s="25" t="s">
        <v>2378</v>
      </c>
      <c r="D4003" s="25" t="s">
        <v>1694</v>
      </c>
      <c r="E4003" s="26">
        <v>2.9000000000000001E-2</v>
      </c>
      <c r="F4003" s="27" t="s">
        <v>2368</v>
      </c>
      <c r="G4003" s="46">
        <v>48.716000000000001</v>
      </c>
      <c r="H4003" s="27" t="s">
        <v>2379</v>
      </c>
      <c r="I4003" s="46">
        <f>IF(ISNUMBER(G4003),E4003*G4003,"")</f>
        <v>1.4127640000000001</v>
      </c>
      <c r="J4003" s="69"/>
      <c r="K4003" s="70"/>
      <c r="L4003" s="174">
        <v>0</v>
      </c>
    </row>
    <row r="4004" spans="1:12" ht="25.5" hidden="1" x14ac:dyDescent="0.25">
      <c r="A4004" s="186"/>
      <c r="B4004" s="179"/>
      <c r="C4004" s="25" t="s">
        <v>2380</v>
      </c>
      <c r="D4004" s="25" t="s">
        <v>1691</v>
      </c>
      <c r="E4004" s="26">
        <v>0.05</v>
      </c>
      <c r="F4004" s="27" t="s">
        <v>2368</v>
      </c>
      <c r="G4004" s="46">
        <v>98.191999999999993</v>
      </c>
      <c r="H4004" s="27" t="s">
        <v>2381</v>
      </c>
      <c r="I4004" s="46">
        <f>IF(ISNUMBER(G4004),E4004*G4004,"")</f>
        <v>4.9096000000000002</v>
      </c>
      <c r="J4004" s="69"/>
      <c r="K4004" s="70"/>
      <c r="L4004" s="174">
        <v>0</v>
      </c>
    </row>
    <row r="4005" spans="1:12" ht="25.5" hidden="1" x14ac:dyDescent="0.25">
      <c r="A4005" s="186"/>
      <c r="B4005" s="179"/>
      <c r="C4005" s="25" t="s">
        <v>2382</v>
      </c>
      <c r="D4005" s="25" t="s">
        <v>1691</v>
      </c>
      <c r="E4005" s="26">
        <v>0.1</v>
      </c>
      <c r="F4005" s="27" t="s">
        <v>2368</v>
      </c>
      <c r="G4005" s="46">
        <v>114.1425</v>
      </c>
      <c r="H4005" s="27" t="s">
        <v>2383</v>
      </c>
      <c r="I4005" s="46">
        <f>IF(ISNUMBER(G4005),E4005*G4005,"")</f>
        <v>11.414250000000001</v>
      </c>
      <c r="J4005" s="69"/>
      <c r="K4005" s="70"/>
      <c r="L4005" s="174">
        <v>0</v>
      </c>
    </row>
    <row r="4006" spans="1:12" ht="38.25" hidden="1" x14ac:dyDescent="0.25">
      <c r="A4006" s="186"/>
      <c r="B4006" s="179"/>
      <c r="C4006" s="25" t="s">
        <v>251</v>
      </c>
      <c r="D4006" s="25" t="s">
        <v>228</v>
      </c>
      <c r="E4006" s="26">
        <f>1*(E3998+E3999)</f>
        <v>1.44</v>
      </c>
      <c r="F4006" s="27" t="s">
        <v>17</v>
      </c>
      <c r="G4006" s="23">
        <v>0.72471700000000006</v>
      </c>
      <c r="H4006" s="27" t="s">
        <v>253</v>
      </c>
      <c r="I4006" s="23">
        <f>IF(ISNUMBER(G4006),E4006*G4006,"")</f>
        <v>1.04359248</v>
      </c>
      <c r="J4006" s="24"/>
      <c r="K4006" s="19"/>
      <c r="L4006" s="174">
        <v>0</v>
      </c>
    </row>
    <row r="4007" spans="1:12" ht="38.25" hidden="1" x14ac:dyDescent="0.25">
      <c r="A4007" s="186"/>
      <c r="B4007" s="179"/>
      <c r="C4007" s="25" t="s">
        <v>254</v>
      </c>
      <c r="D4007" s="25" t="s">
        <v>255</v>
      </c>
      <c r="E4007" s="26">
        <f>20*(E3999+E3998)</f>
        <v>28.799999999999997</v>
      </c>
      <c r="F4007" s="27" t="s">
        <v>17</v>
      </c>
      <c r="G4007" s="46">
        <v>1.0354733999999999</v>
      </c>
      <c r="H4007" s="27" t="s">
        <v>256</v>
      </c>
      <c r="I4007" s="46">
        <f>IF(ISNUMBER(G4007),E4007*G4007,"")</f>
        <v>29.821633919999993</v>
      </c>
      <c r="J4007" s="69"/>
      <c r="K4007" s="70"/>
      <c r="L4007" s="174">
        <v>0</v>
      </c>
    </row>
    <row r="4008" spans="1:12" hidden="1" x14ac:dyDescent="0.25">
      <c r="A4008" s="186"/>
      <c r="B4008" s="179"/>
      <c r="C4008" s="25"/>
      <c r="D4008" s="25"/>
      <c r="E4008" s="26"/>
      <c r="F4008" s="27"/>
      <c r="G4008" s="46" t="s">
        <v>1079</v>
      </c>
      <c r="H4008" s="27"/>
      <c r="I4008" s="46" t="str">
        <f>IF(ISNUMBER(G4008),E4008*G4008,"")</f>
        <v/>
      </c>
      <c r="J4008" s="69"/>
      <c r="K4008" s="70"/>
      <c r="L4008" s="174">
        <v>0</v>
      </c>
    </row>
    <row r="4009" spans="1:12" ht="25.5" hidden="1" x14ac:dyDescent="0.25">
      <c r="A4009" s="186"/>
      <c r="B4009" s="179"/>
      <c r="C4009" s="39" t="s">
        <v>2344</v>
      </c>
      <c r="D4009" s="25"/>
      <c r="E4009" s="26"/>
      <c r="F4009" s="27"/>
      <c r="G4009" s="46" t="s">
        <v>1079</v>
      </c>
      <c r="H4009" s="27"/>
      <c r="I4009" s="46" t="str">
        <f>IF(ISNUMBER(G4009),E4009*G4009,"")</f>
        <v/>
      </c>
      <c r="J4009" s="69"/>
      <c r="K4009" s="70"/>
      <c r="L4009" s="174">
        <v>0</v>
      </c>
    </row>
    <row r="4010" spans="1:12" ht="15.75" hidden="1" thickBot="1" x14ac:dyDescent="0.3">
      <c r="A4010" s="187"/>
      <c r="B4010" s="183"/>
      <c r="C4010" s="47"/>
      <c r="D4010" s="47"/>
      <c r="E4010" s="60"/>
      <c r="F4010" s="61"/>
      <c r="G4010" s="73" t="s">
        <v>1079</v>
      </c>
      <c r="H4010" s="61"/>
      <c r="I4010" s="73" t="str">
        <f>IF(ISNUMBER(G4010),E4010*G4010,"")</f>
        <v/>
      </c>
      <c r="J4010" s="75"/>
      <c r="K4010" s="70"/>
      <c r="L4010" s="174">
        <v>0</v>
      </c>
    </row>
    <row r="4011" spans="1:12" ht="15.75" hidden="1" thickBot="1" x14ac:dyDescent="0.3">
      <c r="A4011" s="180" t="s">
        <v>2384</v>
      </c>
      <c r="B4011" s="178" t="str">
        <f>INDEX(Orçamentária!A:B,MATCH(Composições!A4011,Orçamentária!A:A,0),2)</f>
        <v>Pavimentação asfáltica com CBUQ para aplicação a frio (remendo)</v>
      </c>
      <c r="C4011" s="30"/>
      <c r="D4011" s="13" t="str">
        <f>TRIM(INDEX(Orçamentária!C:C,MATCH(Composições!A4011,Orçamentária!A:A,0),1))</f>
        <v>m3</v>
      </c>
      <c r="E4011" s="14"/>
      <c r="F4011" s="15" t="s">
        <v>2385</v>
      </c>
      <c r="G4011" s="40" t="s">
        <v>1079</v>
      </c>
      <c r="H4011" s="16"/>
      <c r="I4011" s="16" t="str">
        <f>IF(ISNUMBER(G4011),E4011*G4011,"")</f>
        <v/>
      </c>
      <c r="J4011" s="17"/>
      <c r="K4011" s="18"/>
      <c r="L4011" s="174">
        <v>0</v>
      </c>
    </row>
    <row r="4012" spans="1:12" hidden="1" x14ac:dyDescent="0.25">
      <c r="A4012" s="186"/>
      <c r="B4012" s="179"/>
      <c r="C4012" s="20"/>
      <c r="D4012" s="20"/>
      <c r="E4012" s="21"/>
      <c r="F4012" s="22"/>
      <c r="G4012" s="46" t="s">
        <v>1079</v>
      </c>
      <c r="H4012" s="20"/>
      <c r="I4012" s="46" t="str">
        <f>IF(ISNUMBER(G4012),E4012*G4012,"")</f>
        <v/>
      </c>
      <c r="J4012" s="69"/>
      <c r="K4012" s="70"/>
      <c r="L4012" s="174">
        <v>0</v>
      </c>
    </row>
    <row r="4013" spans="1:12" hidden="1" x14ac:dyDescent="0.25">
      <c r="A4013" s="186"/>
      <c r="B4013" s="179"/>
      <c r="C4013" s="25" t="s">
        <v>1367</v>
      </c>
      <c r="D4013" s="25" t="s">
        <v>1366</v>
      </c>
      <c r="E4013" s="26">
        <f>6/0.5</f>
        <v>12</v>
      </c>
      <c r="F4013" s="27" t="s">
        <v>2386</v>
      </c>
      <c r="G4013" s="46">
        <v>14.325999999999999</v>
      </c>
      <c r="H4013" s="27" t="s">
        <v>39</v>
      </c>
      <c r="I4013" s="46">
        <f>IF(ISNUMBER(G4013),E4013*G4013,"")</f>
        <v>171.91199999999998</v>
      </c>
      <c r="J4013" s="28">
        <f>SUM(I4013:I4016)</f>
        <v>171.91199999999998</v>
      </c>
      <c r="K4013" s="29"/>
      <c r="L4013" s="174">
        <v>0</v>
      </c>
    </row>
    <row r="4014" spans="1:12" hidden="1" x14ac:dyDescent="0.25">
      <c r="A4014" s="186"/>
      <c r="B4014" s="179"/>
      <c r="C4014" s="25" t="s">
        <v>2387</v>
      </c>
      <c r="D4014" s="25" t="s">
        <v>1691</v>
      </c>
      <c r="E4014" s="26">
        <f>0.2/0.5</f>
        <v>0.4</v>
      </c>
      <c r="F4014" s="27" t="s">
        <v>2386</v>
      </c>
      <c r="G4014" s="46">
        <v>0</v>
      </c>
      <c r="H4014" s="27" t="s">
        <v>2388</v>
      </c>
      <c r="I4014" s="46">
        <f>IF(ISNUMBER(G4014),E4014*G4014,"")</f>
        <v>0</v>
      </c>
      <c r="J4014" s="69"/>
      <c r="K4014" s="70"/>
      <c r="L4014" s="174">
        <v>0</v>
      </c>
    </row>
    <row r="4015" spans="1:12" hidden="1" x14ac:dyDescent="0.25">
      <c r="A4015" s="186"/>
      <c r="B4015" s="179"/>
      <c r="C4015" s="25" t="s">
        <v>2389</v>
      </c>
      <c r="D4015" s="25" t="s">
        <v>1694</v>
      </c>
      <c r="E4015" s="26">
        <f>0.8/0.5</f>
        <v>1.6</v>
      </c>
      <c r="F4015" s="27" t="s">
        <v>2386</v>
      </c>
      <c r="G4015" s="46">
        <v>0</v>
      </c>
      <c r="H4015" s="27" t="s">
        <v>2388</v>
      </c>
      <c r="I4015" s="46">
        <f>IF(ISNUMBER(G4015),E4015*G4015,"")</f>
        <v>0</v>
      </c>
      <c r="J4015" s="69"/>
      <c r="K4015" s="70"/>
      <c r="L4015" s="174">
        <v>0</v>
      </c>
    </row>
    <row r="4016" spans="1:12" hidden="1" x14ac:dyDescent="0.25">
      <c r="A4016" s="186"/>
      <c r="B4016" s="179"/>
      <c r="C4016" s="25" t="s">
        <v>2390</v>
      </c>
      <c r="D4016" s="25" t="s">
        <v>75</v>
      </c>
      <c r="E4016" s="26">
        <v>2500</v>
      </c>
      <c r="F4016" s="27" t="s">
        <v>2386</v>
      </c>
      <c r="G4016" s="46" t="s">
        <v>1079</v>
      </c>
      <c r="H4016" s="27" t="s">
        <v>33</v>
      </c>
      <c r="I4016" s="46" t="str">
        <f>IF(ISNUMBER(G4016),E4016*G4016,"")</f>
        <v/>
      </c>
      <c r="J4016" s="69"/>
      <c r="K4016" s="70"/>
      <c r="L4016" s="174">
        <v>0</v>
      </c>
    </row>
    <row r="4017" spans="1:12" ht="15.75" hidden="1" thickBot="1" x14ac:dyDescent="0.3">
      <c r="A4017" s="187"/>
      <c r="B4017" s="183"/>
      <c r="C4017" s="47"/>
      <c r="D4017" s="47"/>
      <c r="E4017" s="60"/>
      <c r="F4017" s="61"/>
      <c r="G4017" s="73" t="s">
        <v>1079</v>
      </c>
      <c r="H4017" s="61"/>
      <c r="I4017" s="73" t="str">
        <f>IF(ISNUMBER(G4017),E4017*G4017,"")</f>
        <v/>
      </c>
      <c r="J4017" s="75"/>
      <c r="K4017" s="70"/>
      <c r="L4017" s="174">
        <v>0</v>
      </c>
    </row>
    <row r="4018" spans="1:12" ht="15.75" hidden="1" thickBot="1" x14ac:dyDescent="0.3">
      <c r="A4018" s="180" t="s">
        <v>2391</v>
      </c>
      <c r="B4018" s="178" t="str">
        <f>INDEX(Orçamentária!A:B,MATCH(Composições!A4018,Orçamentária!A:A,0),2)</f>
        <v>Pintura para sinalização e demarcação viária horizontal</v>
      </c>
      <c r="C4018" s="30"/>
      <c r="D4018" s="13" t="str">
        <f>TRIM(INDEX(Orçamentária!C:C,MATCH(Composições!A4018,Orçamentária!A:A,0),1))</f>
        <v>m2</v>
      </c>
      <c r="E4018" s="14"/>
      <c r="F4018" s="15" t="s">
        <v>2392</v>
      </c>
      <c r="G4018" s="40" t="s">
        <v>1079</v>
      </c>
      <c r="H4018" s="16"/>
      <c r="I4018" s="16" t="str">
        <f>IF(ISNUMBER(G4018),E4018*G4018,"")</f>
        <v/>
      </c>
      <c r="J4018" s="17"/>
      <c r="K4018" s="18"/>
      <c r="L4018" s="174">
        <v>0</v>
      </c>
    </row>
    <row r="4019" spans="1:12" hidden="1" x14ac:dyDescent="0.25">
      <c r="A4019" s="186"/>
      <c r="B4019" s="179"/>
      <c r="C4019" s="20"/>
      <c r="D4019" s="20"/>
      <c r="E4019" s="21"/>
      <c r="F4019" s="22"/>
      <c r="G4019" s="46" t="s">
        <v>1079</v>
      </c>
      <c r="H4019" s="20"/>
      <c r="I4019" s="46" t="str">
        <f>IF(ISNUMBER(G4019),E4019*G4019,"")</f>
        <v/>
      </c>
      <c r="J4019" s="69"/>
      <c r="K4019" s="70"/>
      <c r="L4019" s="174">
        <v>0</v>
      </c>
    </row>
    <row r="4020" spans="1:12" hidden="1" x14ac:dyDescent="0.25">
      <c r="A4020" s="186"/>
      <c r="B4020" s="179"/>
      <c r="C4020" s="25" t="s">
        <v>2297</v>
      </c>
      <c r="D4020" s="25" t="s">
        <v>208</v>
      </c>
      <c r="E4020" s="26">
        <v>0.13</v>
      </c>
      <c r="F4020" s="27" t="s">
        <v>2392</v>
      </c>
      <c r="G4020" s="46">
        <v>10.7445</v>
      </c>
      <c r="H4020" s="27" t="s">
        <v>2298</v>
      </c>
      <c r="I4020" s="46">
        <f>IF(ISNUMBER(G4020),E4020*G4020,"")</f>
        <v>1.3967850000000002</v>
      </c>
      <c r="J4020" s="28">
        <f>SUM(I4020:I4026)</f>
        <v>14.4820242</v>
      </c>
      <c r="K4020" s="29"/>
      <c r="L4020" s="174">
        <v>0</v>
      </c>
    </row>
    <row r="4021" spans="1:12" ht="51" hidden="1" x14ac:dyDescent="0.25">
      <c r="A4021" s="186"/>
      <c r="B4021" s="179"/>
      <c r="C4021" s="25" t="s">
        <v>2393</v>
      </c>
      <c r="D4021" s="25" t="s">
        <v>1691</v>
      </c>
      <c r="E4021" s="26">
        <v>3.3E-3</v>
      </c>
      <c r="F4021" s="27" t="s">
        <v>2392</v>
      </c>
      <c r="G4021" s="46">
        <v>97.28</v>
      </c>
      <c r="H4021" s="27" t="s">
        <v>2394</v>
      </c>
      <c r="I4021" s="46">
        <f>IF(ISNUMBER(G4021),E4021*G4021,"")</f>
        <v>0.32102399999999998</v>
      </c>
      <c r="J4021" s="69"/>
      <c r="K4021" s="70"/>
      <c r="L4021" s="174">
        <v>0</v>
      </c>
    </row>
    <row r="4022" spans="1:12" ht="25.5" hidden="1" x14ac:dyDescent="0.25">
      <c r="A4022" s="186"/>
      <c r="B4022" s="179"/>
      <c r="C4022" s="25" t="s">
        <v>2395</v>
      </c>
      <c r="D4022" s="25" t="s">
        <v>208</v>
      </c>
      <c r="E4022" s="26">
        <v>0.6</v>
      </c>
      <c r="F4022" s="27" t="s">
        <v>2392</v>
      </c>
      <c r="G4022" s="46">
        <v>13.689499999999999</v>
      </c>
      <c r="H4022" s="27" t="s">
        <v>2396</v>
      </c>
      <c r="I4022" s="46">
        <f>IF(ISNUMBER(G4022),E4022*G4022,"")</f>
        <v>8.2136999999999993</v>
      </c>
      <c r="J4022" s="69"/>
      <c r="K4022" s="70"/>
      <c r="L4022" s="174">
        <v>0</v>
      </c>
    </row>
    <row r="4023" spans="1:12" hidden="1" x14ac:dyDescent="0.25">
      <c r="A4023" s="186"/>
      <c r="B4023" s="179"/>
      <c r="C4023" s="25" t="s">
        <v>1969</v>
      </c>
      <c r="D4023" s="25" t="s">
        <v>208</v>
      </c>
      <c r="E4023" s="26">
        <v>0.03</v>
      </c>
      <c r="F4023" s="27" t="s">
        <v>2392</v>
      </c>
      <c r="G4023" s="46">
        <v>13.224</v>
      </c>
      <c r="H4023" s="27" t="s">
        <v>1971</v>
      </c>
      <c r="I4023" s="46">
        <f>IF(ISNUMBER(G4023),E4023*G4023,"")</f>
        <v>0.39672000000000002</v>
      </c>
      <c r="J4023" s="69"/>
      <c r="K4023" s="70"/>
      <c r="L4023" s="174">
        <v>0</v>
      </c>
    </row>
    <row r="4024" spans="1:12" ht="25.5" hidden="1" x14ac:dyDescent="0.25">
      <c r="A4024" s="186"/>
      <c r="B4024" s="179"/>
      <c r="C4024" s="25" t="s">
        <v>2397</v>
      </c>
      <c r="D4024" s="25" t="s">
        <v>1629</v>
      </c>
      <c r="E4024" s="26">
        <v>0.4</v>
      </c>
      <c r="F4024" s="27" t="s">
        <v>2392</v>
      </c>
      <c r="G4024" s="46">
        <v>8.4359999999999999</v>
      </c>
      <c r="H4024" s="27" t="s">
        <v>2398</v>
      </c>
      <c r="I4024" s="46">
        <f>IF(ISNUMBER(G4024),E4024*G4024,"")</f>
        <v>3.3744000000000001</v>
      </c>
      <c r="J4024" s="69"/>
      <c r="K4024" s="70"/>
      <c r="L4024" s="174">
        <v>0</v>
      </c>
    </row>
    <row r="4025" spans="1:12" hidden="1" x14ac:dyDescent="0.25">
      <c r="A4025" s="186"/>
      <c r="B4025" s="179"/>
      <c r="C4025" s="25" t="s">
        <v>1367</v>
      </c>
      <c r="D4025" s="25" t="s">
        <v>1366</v>
      </c>
      <c r="E4025" s="26">
        <v>3.3300000000000003E-2</v>
      </c>
      <c r="F4025" s="27" t="s">
        <v>2392</v>
      </c>
      <c r="G4025" s="46">
        <v>14.325999999999999</v>
      </c>
      <c r="H4025" s="27" t="s">
        <v>39</v>
      </c>
      <c r="I4025" s="46">
        <f>IF(ISNUMBER(G4025),E4025*G4025,"")</f>
        <v>0.47705580000000003</v>
      </c>
      <c r="J4025" s="69"/>
      <c r="K4025" s="70"/>
      <c r="L4025" s="174">
        <v>0</v>
      </c>
    </row>
    <row r="4026" spans="1:12" ht="25.5" hidden="1" x14ac:dyDescent="0.25">
      <c r="A4026" s="186"/>
      <c r="B4026" s="179"/>
      <c r="C4026" s="25" t="s">
        <v>2399</v>
      </c>
      <c r="D4026" s="25" t="s">
        <v>1691</v>
      </c>
      <c r="E4026" s="26">
        <v>3.3E-3</v>
      </c>
      <c r="F4026" s="27" t="s">
        <v>2392</v>
      </c>
      <c r="G4026" s="46">
        <v>91.617999999999995</v>
      </c>
      <c r="H4026" s="27" t="s">
        <v>2400</v>
      </c>
      <c r="I4026" s="46">
        <f>IF(ISNUMBER(G4026),E4026*G4026,"")</f>
        <v>0.30233939999999998</v>
      </c>
      <c r="J4026" s="69"/>
      <c r="K4026" s="70"/>
      <c r="L4026" s="174">
        <v>0</v>
      </c>
    </row>
    <row r="4027" spans="1:12" ht="15.75" hidden="1" thickBot="1" x14ac:dyDescent="0.3">
      <c r="A4027" s="187"/>
      <c r="B4027" s="183"/>
      <c r="C4027" s="47"/>
      <c r="D4027" s="47"/>
      <c r="E4027" s="60"/>
      <c r="F4027" s="61"/>
      <c r="G4027" s="73" t="s">
        <v>1079</v>
      </c>
      <c r="H4027" s="61"/>
      <c r="I4027" s="73" t="str">
        <f>IF(ISNUMBER(G4027),E4027*G4027,"")</f>
        <v/>
      </c>
      <c r="J4027" s="75"/>
      <c r="K4027" s="70"/>
      <c r="L4027" s="174">
        <v>0</v>
      </c>
    </row>
    <row r="4028" spans="1:12" ht="15.75" hidden="1" thickBot="1" x14ac:dyDescent="0.3">
      <c r="A4028" s="180" t="s">
        <v>2401</v>
      </c>
      <c r="B4028" s="178" t="str">
        <f>INDEX(Orçamentária!A:B,MATCH(Composições!A4028,Orçamentária!A:A,0),2)</f>
        <v>Telha metálica trapezoidal galvanizada - GR-40</v>
      </c>
      <c r="C4028" s="30"/>
      <c r="D4028" s="13" t="str">
        <f>TRIM(INDEX(Orçamentária!C:C,MATCH(Composições!A4028,Orçamentária!A:A,0),1))</f>
        <v>m2</v>
      </c>
      <c r="E4028" s="14"/>
      <c r="F4028" s="15" t="s">
        <v>2402</v>
      </c>
      <c r="G4028" s="40" t="s">
        <v>1079</v>
      </c>
      <c r="H4028" s="16"/>
      <c r="I4028" s="16" t="str">
        <f>IF(ISNUMBER(G4028),E4028*G4028,"")</f>
        <v/>
      </c>
      <c r="J4028" s="17"/>
      <c r="K4028" s="18"/>
      <c r="L4028" s="174">
        <v>0</v>
      </c>
    </row>
    <row r="4029" spans="1:12" hidden="1" x14ac:dyDescent="0.25">
      <c r="A4029" s="186"/>
      <c r="B4029" s="179"/>
      <c r="C4029" s="20"/>
      <c r="D4029" s="20"/>
      <c r="E4029" s="21"/>
      <c r="F4029" s="22"/>
      <c r="G4029" s="46" t="s">
        <v>1079</v>
      </c>
      <c r="H4029" s="20"/>
      <c r="I4029" s="46" t="str">
        <f>IF(ISNUMBER(G4029),E4029*G4029,"")</f>
        <v/>
      </c>
      <c r="J4029" s="69"/>
      <c r="K4029" s="70"/>
      <c r="L4029" s="174">
        <v>0</v>
      </c>
    </row>
    <row r="4030" spans="1:12" ht="25.5" hidden="1" x14ac:dyDescent="0.25">
      <c r="A4030" s="186"/>
      <c r="B4030" s="179"/>
      <c r="C4030" s="25" t="s">
        <v>2403</v>
      </c>
      <c r="D4030" s="36" t="s">
        <v>1795</v>
      </c>
      <c r="E4030" s="26">
        <v>1.1659999999999999</v>
      </c>
      <c r="F4030" s="27" t="s">
        <v>2404</v>
      </c>
      <c r="G4030" s="46" t="s">
        <v>1079</v>
      </c>
      <c r="H4030" s="27" t="s">
        <v>33</v>
      </c>
      <c r="I4030" s="46" t="str">
        <f>IF(ISNUMBER(G4030),E4030*G4030,"")</f>
        <v/>
      </c>
      <c r="J4030" s="28">
        <f>SUM(I4030:I4035)</f>
        <v>7.7212864999999988</v>
      </c>
      <c r="K4030" s="29"/>
      <c r="L4030" s="174">
        <v>0</v>
      </c>
    </row>
    <row r="4031" spans="1:12" ht="38.25" hidden="1" x14ac:dyDescent="0.25">
      <c r="A4031" s="186"/>
      <c r="B4031" s="179"/>
      <c r="C4031" s="25" t="s">
        <v>2405</v>
      </c>
      <c r="D4031" s="36" t="s">
        <v>1438</v>
      </c>
      <c r="E4031" s="26">
        <v>4.1500000000000004</v>
      </c>
      <c r="F4031" s="27" t="s">
        <v>2404</v>
      </c>
      <c r="G4031" s="46">
        <v>1.0734999999999999</v>
      </c>
      <c r="H4031" s="27" t="s">
        <v>2406</v>
      </c>
      <c r="I4031" s="46">
        <f>IF(ISNUMBER(G4031),E4031*G4031,"")</f>
        <v>4.455025</v>
      </c>
      <c r="J4031" s="69"/>
      <c r="K4031" s="70"/>
      <c r="L4031" s="174">
        <v>0</v>
      </c>
    </row>
    <row r="4032" spans="1:12" hidden="1" x14ac:dyDescent="0.25">
      <c r="A4032" s="186"/>
      <c r="B4032" s="179"/>
      <c r="C4032" s="25" t="s">
        <v>1367</v>
      </c>
      <c r="D4032" s="25" t="s">
        <v>1366</v>
      </c>
      <c r="E4032" s="26">
        <v>9.7000000000000003E-2</v>
      </c>
      <c r="F4032" s="27" t="s">
        <v>2404</v>
      </c>
      <c r="G4032" s="46">
        <v>14.325999999999999</v>
      </c>
      <c r="H4032" s="27" t="s">
        <v>39</v>
      </c>
      <c r="I4032" s="46">
        <f>IF(ISNUMBER(G4032),E4032*G4032,"")</f>
        <v>1.3896219999999999</v>
      </c>
      <c r="J4032" s="69"/>
      <c r="K4032" s="70"/>
      <c r="L4032" s="174">
        <v>0</v>
      </c>
    </row>
    <row r="4033" spans="1:12" hidden="1" x14ac:dyDescent="0.25">
      <c r="A4033" s="186"/>
      <c r="B4033" s="179"/>
      <c r="C4033" s="25" t="s">
        <v>2407</v>
      </c>
      <c r="D4033" s="25" t="s">
        <v>1366</v>
      </c>
      <c r="E4033" s="26">
        <v>9.0999999999999998E-2</v>
      </c>
      <c r="F4033" s="27" t="s">
        <v>2404</v>
      </c>
      <c r="G4033" s="46">
        <v>20.244499999999999</v>
      </c>
      <c r="H4033" s="27" t="s">
        <v>2408</v>
      </c>
      <c r="I4033" s="46">
        <f>IF(ISNUMBER(G4033),E4033*G4033,"")</f>
        <v>1.8422494999999999</v>
      </c>
      <c r="J4033" s="69"/>
      <c r="K4033" s="70"/>
      <c r="L4033" s="174">
        <v>0</v>
      </c>
    </row>
    <row r="4034" spans="1:12" ht="25.5" hidden="1" x14ac:dyDescent="0.25">
      <c r="A4034" s="186"/>
      <c r="B4034" s="179"/>
      <c r="C4034" s="25" t="s">
        <v>2409</v>
      </c>
      <c r="D4034" s="25" t="s">
        <v>1691</v>
      </c>
      <c r="E4034" s="26">
        <v>8.9999999999999998E-4</v>
      </c>
      <c r="F4034" s="27" t="s">
        <v>2404</v>
      </c>
      <c r="G4034" s="46">
        <v>16.035999999999998</v>
      </c>
      <c r="H4034" s="27" t="s">
        <v>2410</v>
      </c>
      <c r="I4034" s="46">
        <f>IF(ISNUMBER(G4034),E4034*G4034,"")</f>
        <v>1.4432399999999998E-2</v>
      </c>
      <c r="J4034" s="69"/>
      <c r="K4034" s="70"/>
      <c r="L4034" s="174">
        <v>0</v>
      </c>
    </row>
    <row r="4035" spans="1:12" ht="25.5" hidden="1" x14ac:dyDescent="0.25">
      <c r="A4035" s="186"/>
      <c r="B4035" s="179"/>
      <c r="C4035" s="25" t="s">
        <v>2411</v>
      </c>
      <c r="D4035" s="25" t="s">
        <v>1694</v>
      </c>
      <c r="E4035" s="26">
        <v>1.2999999999999999E-3</v>
      </c>
      <c r="F4035" s="27" t="s">
        <v>2404</v>
      </c>
      <c r="G4035" s="46">
        <v>15.351999999999999</v>
      </c>
      <c r="H4035" s="27" t="s">
        <v>2412</v>
      </c>
      <c r="I4035" s="46">
        <f>IF(ISNUMBER(G4035),E4035*G4035,"")</f>
        <v>1.9957599999999995E-2</v>
      </c>
      <c r="J4035" s="69"/>
      <c r="K4035" s="70"/>
      <c r="L4035" s="174">
        <v>0</v>
      </c>
    </row>
    <row r="4036" spans="1:12" ht="15.75" hidden="1" thickBot="1" x14ac:dyDescent="0.3">
      <c r="A4036" s="187"/>
      <c r="B4036" s="183"/>
      <c r="C4036" s="47"/>
      <c r="D4036" s="47"/>
      <c r="E4036" s="60"/>
      <c r="F4036" s="61"/>
      <c r="G4036" s="73" t="s">
        <v>1079</v>
      </c>
      <c r="H4036" s="61"/>
      <c r="I4036" s="73" t="str">
        <f>IF(ISNUMBER(G4036),E4036*G4036,"")</f>
        <v/>
      </c>
      <c r="J4036" s="75"/>
      <c r="K4036" s="70"/>
      <c r="L4036" s="174">
        <v>0</v>
      </c>
    </row>
    <row r="4037" spans="1:12" ht="15.75" hidden="1" thickBot="1" x14ac:dyDescent="0.3">
      <c r="A4037" s="180" t="s">
        <v>2413</v>
      </c>
      <c r="B4037" s="178" t="str">
        <f>INDEX(Orçamentária!A:B,MATCH(Composições!A4037,Orçamentária!A:A,0),2)</f>
        <v>Cumeeira para telha metálica trapezoidal galvanizada - GR-40</v>
      </c>
      <c r="C4037" s="30"/>
      <c r="D4037" s="13" t="str">
        <f>TRIM(INDEX(Orçamentária!C:C,MATCH(Composições!A4037,Orçamentária!A:A,0),1))</f>
        <v>m</v>
      </c>
      <c r="E4037" s="14"/>
      <c r="F4037" s="15" t="s">
        <v>2414</v>
      </c>
      <c r="G4037" s="40" t="s">
        <v>1079</v>
      </c>
      <c r="H4037" s="16"/>
      <c r="I4037" s="16" t="str">
        <f>IF(ISNUMBER(G4037),E4037*G4037,"")</f>
        <v/>
      </c>
      <c r="J4037" s="17"/>
      <c r="K4037" s="18"/>
      <c r="L4037" s="174">
        <v>0</v>
      </c>
    </row>
    <row r="4038" spans="1:12" hidden="1" x14ac:dyDescent="0.25">
      <c r="A4038" s="186"/>
      <c r="B4038" s="179"/>
      <c r="C4038" s="20"/>
      <c r="D4038" s="20"/>
      <c r="E4038" s="21"/>
      <c r="F4038" s="22"/>
      <c r="G4038" s="46" t="s">
        <v>1079</v>
      </c>
      <c r="H4038" s="20"/>
      <c r="I4038" s="46" t="str">
        <f>IF(ISNUMBER(G4038),E4038*G4038,"")</f>
        <v/>
      </c>
      <c r="J4038" s="69"/>
      <c r="K4038" s="70"/>
      <c r="L4038" s="174">
        <v>0</v>
      </c>
    </row>
    <row r="4039" spans="1:12" ht="38.25" hidden="1" x14ac:dyDescent="0.25">
      <c r="A4039" s="186"/>
      <c r="B4039" s="179"/>
      <c r="C4039" s="25" t="s">
        <v>2405</v>
      </c>
      <c r="D4039" s="36" t="s">
        <v>1438</v>
      </c>
      <c r="E4039" s="26">
        <v>4.1500000000000004</v>
      </c>
      <c r="F4039" s="27" t="s">
        <v>2404</v>
      </c>
      <c r="G4039" s="46">
        <v>1.0734999999999999</v>
      </c>
      <c r="H4039" s="27" t="s">
        <v>2406</v>
      </c>
      <c r="I4039" s="46">
        <f>IF(ISNUMBER(G4039),E4039*G4039,"")</f>
        <v>4.455025</v>
      </c>
      <c r="J4039" s="28">
        <f>SUM(I4039:I4044)</f>
        <v>6.7842729999999998</v>
      </c>
      <c r="K4039" s="29"/>
      <c r="L4039" s="174">
        <v>0</v>
      </c>
    </row>
    <row r="4040" spans="1:12" ht="25.5" hidden="1" x14ac:dyDescent="0.25">
      <c r="A4040" s="186"/>
      <c r="B4040" s="179"/>
      <c r="C4040" s="25" t="s">
        <v>2415</v>
      </c>
      <c r="D4040" s="25" t="s">
        <v>588</v>
      </c>
      <c r="E4040" s="26">
        <v>1.0289999999999999</v>
      </c>
      <c r="F4040" s="27" t="s">
        <v>2416</v>
      </c>
      <c r="G4040" s="46" t="s">
        <v>1079</v>
      </c>
      <c r="H4040" s="27" t="s">
        <v>33</v>
      </c>
      <c r="I4040" s="46" t="str">
        <f>IF(ISNUMBER(G4040),E4040*G4040,"")</f>
        <v/>
      </c>
      <c r="J4040" s="69"/>
      <c r="K4040" s="70"/>
      <c r="L4040" s="174">
        <v>0</v>
      </c>
    </row>
    <row r="4041" spans="1:12" hidden="1" x14ac:dyDescent="0.25">
      <c r="A4041" s="186"/>
      <c r="B4041" s="179"/>
      <c r="C4041" s="25" t="s">
        <v>1367</v>
      </c>
      <c r="D4041" s="25" t="s">
        <v>1366</v>
      </c>
      <c r="E4041" s="26">
        <v>7.2999999999999995E-2</v>
      </c>
      <c r="F4041" s="27" t="s">
        <v>2416</v>
      </c>
      <c r="G4041" s="46">
        <v>14.325999999999999</v>
      </c>
      <c r="H4041" s="27" t="s">
        <v>39</v>
      </c>
      <c r="I4041" s="46">
        <f>IF(ISNUMBER(G4041),E4041*G4041,"")</f>
        <v>1.0457979999999998</v>
      </c>
      <c r="J4041" s="69"/>
      <c r="K4041" s="70"/>
      <c r="L4041" s="174">
        <v>0</v>
      </c>
    </row>
    <row r="4042" spans="1:12" hidden="1" x14ac:dyDescent="0.25">
      <c r="A4042" s="186"/>
      <c r="B4042" s="179"/>
      <c r="C4042" s="25" t="s">
        <v>2407</v>
      </c>
      <c r="D4042" s="25" t="s">
        <v>1366</v>
      </c>
      <c r="E4042" s="26">
        <v>0.06</v>
      </c>
      <c r="F4042" s="27" t="s">
        <v>2416</v>
      </c>
      <c r="G4042" s="46">
        <v>20.244499999999999</v>
      </c>
      <c r="H4042" s="27" t="s">
        <v>2408</v>
      </c>
      <c r="I4042" s="46">
        <f>IF(ISNUMBER(G4042),E4042*G4042,"")</f>
        <v>1.2146699999999999</v>
      </c>
      <c r="J4042" s="69"/>
      <c r="K4042" s="70"/>
      <c r="L4042" s="174">
        <v>0</v>
      </c>
    </row>
    <row r="4043" spans="1:12" ht="25.5" hidden="1" x14ac:dyDescent="0.25">
      <c r="A4043" s="186"/>
      <c r="B4043" s="179"/>
      <c r="C4043" s="25" t="s">
        <v>2409</v>
      </c>
      <c r="D4043" s="25" t="s">
        <v>1691</v>
      </c>
      <c r="E4043" s="26">
        <v>1.8E-3</v>
      </c>
      <c r="F4043" s="27" t="s">
        <v>2416</v>
      </c>
      <c r="G4043" s="46">
        <v>16.035999999999998</v>
      </c>
      <c r="H4043" s="27" t="s">
        <v>2410</v>
      </c>
      <c r="I4043" s="46">
        <f>IF(ISNUMBER(G4043),E4043*G4043,"")</f>
        <v>2.8864799999999996E-2</v>
      </c>
      <c r="J4043" s="69"/>
      <c r="K4043" s="70"/>
      <c r="L4043" s="174">
        <v>0</v>
      </c>
    </row>
    <row r="4044" spans="1:12" ht="25.5" hidden="1" x14ac:dyDescent="0.25">
      <c r="A4044" s="186"/>
      <c r="B4044" s="179"/>
      <c r="C4044" s="25" t="s">
        <v>2411</v>
      </c>
      <c r="D4044" s="25" t="s">
        <v>1694</v>
      </c>
      <c r="E4044" s="26">
        <v>2.5999999999999999E-3</v>
      </c>
      <c r="F4044" s="27" t="s">
        <v>2416</v>
      </c>
      <c r="G4044" s="46">
        <v>15.351999999999999</v>
      </c>
      <c r="H4044" s="27" t="s">
        <v>2412</v>
      </c>
      <c r="I4044" s="46">
        <f>IF(ISNUMBER(G4044),E4044*G4044,"")</f>
        <v>3.9915199999999991E-2</v>
      </c>
      <c r="J4044" s="69"/>
      <c r="K4044" s="70"/>
      <c r="L4044" s="174">
        <v>0</v>
      </c>
    </row>
    <row r="4045" spans="1:12" ht="15.75" hidden="1" thickBot="1" x14ac:dyDescent="0.3">
      <c r="A4045" s="187"/>
      <c r="B4045" s="183"/>
      <c r="C4045" s="47"/>
      <c r="D4045" s="47"/>
      <c r="E4045" s="60"/>
      <c r="F4045" s="61"/>
      <c r="G4045" s="73" t="s">
        <v>1079</v>
      </c>
      <c r="H4045" s="61"/>
      <c r="I4045" s="73" t="str">
        <f>IF(ISNUMBER(G4045),E4045*G4045,"")</f>
        <v/>
      </c>
      <c r="J4045" s="75"/>
      <c r="K4045" s="70"/>
      <c r="L4045" s="174">
        <v>0</v>
      </c>
    </row>
    <row r="4046" spans="1:12" ht="15.75" hidden="1" thickBot="1" x14ac:dyDescent="0.3">
      <c r="A4046" s="180" t="s">
        <v>2417</v>
      </c>
      <c r="B4046" s="178" t="str">
        <f>INDEX(Orçamentária!A:B,MATCH(Composições!A4046,Orçamentária!A:A,0),2)</f>
        <v>Telha metálica trapezoidal galvanizada - GR-25</v>
      </c>
      <c r="C4046" s="30"/>
      <c r="D4046" s="13" t="str">
        <f>TRIM(INDEX(Orçamentária!C:C,MATCH(Composições!A4046,Orçamentária!A:A,0),1))</f>
        <v>m2</v>
      </c>
      <c r="E4046" s="14"/>
      <c r="F4046" s="15" t="s">
        <v>2402</v>
      </c>
      <c r="G4046" s="40" t="s">
        <v>1079</v>
      </c>
      <c r="H4046" s="16"/>
      <c r="I4046" s="16" t="str">
        <f>IF(ISNUMBER(G4046),E4046*G4046,"")</f>
        <v/>
      </c>
      <c r="J4046" s="17"/>
      <c r="K4046" s="18"/>
      <c r="L4046" s="174">
        <v>0</v>
      </c>
    </row>
    <row r="4047" spans="1:12" hidden="1" x14ac:dyDescent="0.25">
      <c r="A4047" s="186"/>
      <c r="B4047" s="179"/>
      <c r="C4047" s="20"/>
      <c r="D4047" s="20"/>
      <c r="E4047" s="21"/>
      <c r="F4047" s="22"/>
      <c r="G4047" s="46" t="s">
        <v>1079</v>
      </c>
      <c r="H4047" s="20"/>
      <c r="I4047" s="46" t="str">
        <f>IF(ISNUMBER(G4047),E4047*G4047,"")</f>
        <v/>
      </c>
      <c r="J4047" s="69"/>
      <c r="K4047" s="70"/>
      <c r="L4047" s="174">
        <v>0</v>
      </c>
    </row>
    <row r="4048" spans="1:12" ht="25.5" hidden="1" x14ac:dyDescent="0.25">
      <c r="A4048" s="186"/>
      <c r="B4048" s="179"/>
      <c r="C4048" s="25" t="s">
        <v>2418</v>
      </c>
      <c r="D4048" s="36" t="s">
        <v>1795</v>
      </c>
      <c r="E4048" s="26">
        <v>1.1659999999999999</v>
      </c>
      <c r="F4048" s="27" t="s">
        <v>2404</v>
      </c>
      <c r="G4048" s="46" t="s">
        <v>1079</v>
      </c>
      <c r="H4048" s="27" t="s">
        <v>33</v>
      </c>
      <c r="I4048" s="46" t="str">
        <f>IF(ISNUMBER(G4048),E4048*G4048,"")</f>
        <v/>
      </c>
      <c r="J4048" s="28">
        <f>SUM(I4048:I4053)</f>
        <v>7.7212864999999988</v>
      </c>
      <c r="K4048" s="29"/>
      <c r="L4048" s="174">
        <v>0</v>
      </c>
    </row>
    <row r="4049" spans="1:12" ht="38.25" hidden="1" x14ac:dyDescent="0.25">
      <c r="A4049" s="186"/>
      <c r="B4049" s="179"/>
      <c r="C4049" s="25" t="s">
        <v>2405</v>
      </c>
      <c r="D4049" s="36" t="s">
        <v>1438</v>
      </c>
      <c r="E4049" s="26">
        <v>4.1500000000000004</v>
      </c>
      <c r="F4049" s="27" t="s">
        <v>2404</v>
      </c>
      <c r="G4049" s="46">
        <v>1.0734999999999999</v>
      </c>
      <c r="H4049" s="27" t="s">
        <v>2406</v>
      </c>
      <c r="I4049" s="46">
        <f>IF(ISNUMBER(G4049),E4049*G4049,"")</f>
        <v>4.455025</v>
      </c>
      <c r="J4049" s="69"/>
      <c r="K4049" s="70"/>
      <c r="L4049" s="174">
        <v>0</v>
      </c>
    </row>
    <row r="4050" spans="1:12" hidden="1" x14ac:dyDescent="0.25">
      <c r="A4050" s="186"/>
      <c r="B4050" s="179"/>
      <c r="C4050" s="25" t="s">
        <v>1367</v>
      </c>
      <c r="D4050" s="25" t="s">
        <v>1366</v>
      </c>
      <c r="E4050" s="26">
        <v>9.7000000000000003E-2</v>
      </c>
      <c r="F4050" s="27" t="s">
        <v>2404</v>
      </c>
      <c r="G4050" s="46">
        <v>14.325999999999999</v>
      </c>
      <c r="H4050" s="27" t="s">
        <v>39</v>
      </c>
      <c r="I4050" s="46">
        <f>IF(ISNUMBER(G4050),E4050*G4050,"")</f>
        <v>1.3896219999999999</v>
      </c>
      <c r="J4050" s="69"/>
      <c r="K4050" s="70"/>
      <c r="L4050" s="174">
        <v>0</v>
      </c>
    </row>
    <row r="4051" spans="1:12" hidden="1" x14ac:dyDescent="0.25">
      <c r="A4051" s="186"/>
      <c r="B4051" s="179"/>
      <c r="C4051" s="25" t="s">
        <v>2407</v>
      </c>
      <c r="D4051" s="25" t="s">
        <v>1366</v>
      </c>
      <c r="E4051" s="26">
        <v>9.0999999999999998E-2</v>
      </c>
      <c r="F4051" s="27" t="s">
        <v>2404</v>
      </c>
      <c r="G4051" s="46">
        <v>20.244499999999999</v>
      </c>
      <c r="H4051" s="27" t="s">
        <v>2408</v>
      </c>
      <c r="I4051" s="46">
        <f>IF(ISNUMBER(G4051),E4051*G4051,"")</f>
        <v>1.8422494999999999</v>
      </c>
      <c r="J4051" s="69"/>
      <c r="K4051" s="70"/>
      <c r="L4051" s="174">
        <v>0</v>
      </c>
    </row>
    <row r="4052" spans="1:12" ht="25.5" hidden="1" x14ac:dyDescent="0.25">
      <c r="A4052" s="186"/>
      <c r="B4052" s="179"/>
      <c r="C4052" s="25" t="s">
        <v>2409</v>
      </c>
      <c r="D4052" s="25" t="s">
        <v>1691</v>
      </c>
      <c r="E4052" s="26">
        <v>8.9999999999999998E-4</v>
      </c>
      <c r="F4052" s="27" t="s">
        <v>2404</v>
      </c>
      <c r="G4052" s="46">
        <v>16.035999999999998</v>
      </c>
      <c r="H4052" s="27" t="s">
        <v>2410</v>
      </c>
      <c r="I4052" s="46">
        <f>IF(ISNUMBER(G4052),E4052*G4052,"")</f>
        <v>1.4432399999999998E-2</v>
      </c>
      <c r="J4052" s="69"/>
      <c r="K4052" s="70"/>
      <c r="L4052" s="174">
        <v>0</v>
      </c>
    </row>
    <row r="4053" spans="1:12" ht="25.5" hidden="1" x14ac:dyDescent="0.25">
      <c r="A4053" s="186"/>
      <c r="B4053" s="179"/>
      <c r="C4053" s="25" t="s">
        <v>2411</v>
      </c>
      <c r="D4053" s="25" t="s">
        <v>1694</v>
      </c>
      <c r="E4053" s="26">
        <v>1.2999999999999999E-3</v>
      </c>
      <c r="F4053" s="27" t="s">
        <v>2404</v>
      </c>
      <c r="G4053" s="46">
        <v>15.351999999999999</v>
      </c>
      <c r="H4053" s="27" t="s">
        <v>2412</v>
      </c>
      <c r="I4053" s="46">
        <f>IF(ISNUMBER(G4053),E4053*G4053,"")</f>
        <v>1.9957599999999995E-2</v>
      </c>
      <c r="J4053" s="69"/>
      <c r="K4053" s="70"/>
      <c r="L4053" s="174">
        <v>0</v>
      </c>
    </row>
    <row r="4054" spans="1:12" ht="15.75" hidden="1" thickBot="1" x14ac:dyDescent="0.3">
      <c r="A4054" s="187"/>
      <c r="B4054" s="183"/>
      <c r="C4054" s="47"/>
      <c r="D4054" s="47"/>
      <c r="E4054" s="60"/>
      <c r="F4054" s="61"/>
      <c r="G4054" s="73" t="s">
        <v>1079</v>
      </c>
      <c r="H4054" s="61"/>
      <c r="I4054" s="73" t="str">
        <f>IF(ISNUMBER(G4054),E4054*G4054,"")</f>
        <v/>
      </c>
      <c r="J4054" s="75"/>
      <c r="K4054" s="70"/>
      <c r="L4054" s="174">
        <v>0</v>
      </c>
    </row>
    <row r="4055" spans="1:12" ht="15.75" hidden="1" thickBot="1" x14ac:dyDescent="0.3">
      <c r="A4055" s="180" t="s">
        <v>2419</v>
      </c>
      <c r="B4055" s="178" t="str">
        <f>INDEX(Orçamentária!A:B,MATCH(Composições!A4055,Orçamentária!A:A,0),2)</f>
        <v>Cumeeira para telha metálica trapezoidal galvanizada - GR-25</v>
      </c>
      <c r="C4055" s="30"/>
      <c r="D4055" s="13" t="str">
        <f>TRIM(INDEX(Orçamentária!C:C,MATCH(Composições!A4055,Orçamentária!A:A,0),1))</f>
        <v>m</v>
      </c>
      <c r="E4055" s="14"/>
      <c r="F4055" s="15" t="s">
        <v>2414</v>
      </c>
      <c r="G4055" s="40" t="s">
        <v>1079</v>
      </c>
      <c r="H4055" s="16"/>
      <c r="I4055" s="16" t="str">
        <f>IF(ISNUMBER(G4055),E4055*G4055,"")</f>
        <v/>
      </c>
      <c r="J4055" s="17"/>
      <c r="K4055" s="18"/>
      <c r="L4055" s="174">
        <v>0</v>
      </c>
    </row>
    <row r="4056" spans="1:12" hidden="1" x14ac:dyDescent="0.25">
      <c r="A4056" s="186"/>
      <c r="B4056" s="179"/>
      <c r="C4056" s="20"/>
      <c r="D4056" s="20"/>
      <c r="E4056" s="21"/>
      <c r="F4056" s="22"/>
      <c r="G4056" s="46" t="s">
        <v>1079</v>
      </c>
      <c r="H4056" s="20"/>
      <c r="I4056" s="46" t="str">
        <f>IF(ISNUMBER(G4056),E4056*G4056,"")</f>
        <v/>
      </c>
      <c r="J4056" s="69"/>
      <c r="K4056" s="70"/>
      <c r="L4056" s="174">
        <v>0</v>
      </c>
    </row>
    <row r="4057" spans="1:12" ht="38.25" hidden="1" x14ac:dyDescent="0.25">
      <c r="A4057" s="186"/>
      <c r="B4057" s="179"/>
      <c r="C4057" s="25" t="s">
        <v>2405</v>
      </c>
      <c r="D4057" s="36" t="s">
        <v>1438</v>
      </c>
      <c r="E4057" s="26">
        <v>4.1500000000000004</v>
      </c>
      <c r="F4057" s="27" t="s">
        <v>2404</v>
      </c>
      <c r="G4057" s="46">
        <v>1.0734999999999999</v>
      </c>
      <c r="H4057" s="27" t="s">
        <v>2406</v>
      </c>
      <c r="I4057" s="46">
        <f>IF(ISNUMBER(G4057),E4057*G4057,"")</f>
        <v>4.455025</v>
      </c>
      <c r="J4057" s="28">
        <f>SUM(I4057:I4062)</f>
        <v>6.7842729999999998</v>
      </c>
      <c r="K4057" s="29"/>
      <c r="L4057" s="174">
        <v>0</v>
      </c>
    </row>
    <row r="4058" spans="1:12" ht="25.5" hidden="1" x14ac:dyDescent="0.25">
      <c r="A4058" s="186"/>
      <c r="B4058" s="179"/>
      <c r="C4058" s="25" t="s">
        <v>2420</v>
      </c>
      <c r="D4058" s="25" t="s">
        <v>588</v>
      </c>
      <c r="E4058" s="26">
        <v>1.0289999999999999</v>
      </c>
      <c r="F4058" s="27" t="s">
        <v>2416</v>
      </c>
      <c r="G4058" s="46" t="s">
        <v>1079</v>
      </c>
      <c r="H4058" s="27" t="s">
        <v>33</v>
      </c>
      <c r="I4058" s="46" t="str">
        <f>IF(ISNUMBER(G4058),E4058*G4058,"")</f>
        <v/>
      </c>
      <c r="J4058" s="69"/>
      <c r="K4058" s="70"/>
      <c r="L4058" s="174">
        <v>0</v>
      </c>
    </row>
    <row r="4059" spans="1:12" hidden="1" x14ac:dyDescent="0.25">
      <c r="A4059" s="186"/>
      <c r="B4059" s="179"/>
      <c r="C4059" s="25" t="s">
        <v>1367</v>
      </c>
      <c r="D4059" s="25" t="s">
        <v>1366</v>
      </c>
      <c r="E4059" s="26">
        <v>7.2999999999999995E-2</v>
      </c>
      <c r="F4059" s="27" t="s">
        <v>2416</v>
      </c>
      <c r="G4059" s="46">
        <v>14.325999999999999</v>
      </c>
      <c r="H4059" s="27" t="s">
        <v>39</v>
      </c>
      <c r="I4059" s="46">
        <f>IF(ISNUMBER(G4059),E4059*G4059,"")</f>
        <v>1.0457979999999998</v>
      </c>
      <c r="J4059" s="69"/>
      <c r="K4059" s="70"/>
      <c r="L4059" s="174">
        <v>0</v>
      </c>
    </row>
    <row r="4060" spans="1:12" hidden="1" x14ac:dyDescent="0.25">
      <c r="A4060" s="186"/>
      <c r="B4060" s="179"/>
      <c r="C4060" s="25" t="s">
        <v>2407</v>
      </c>
      <c r="D4060" s="25" t="s">
        <v>1366</v>
      </c>
      <c r="E4060" s="26">
        <v>0.06</v>
      </c>
      <c r="F4060" s="27" t="s">
        <v>2416</v>
      </c>
      <c r="G4060" s="46">
        <v>20.244499999999999</v>
      </c>
      <c r="H4060" s="27" t="s">
        <v>2408</v>
      </c>
      <c r="I4060" s="46">
        <f>IF(ISNUMBER(G4060),E4060*G4060,"")</f>
        <v>1.2146699999999999</v>
      </c>
      <c r="J4060" s="69"/>
      <c r="K4060" s="70"/>
      <c r="L4060" s="174">
        <v>0</v>
      </c>
    </row>
    <row r="4061" spans="1:12" ht="25.5" hidden="1" x14ac:dyDescent="0.25">
      <c r="A4061" s="186"/>
      <c r="B4061" s="179"/>
      <c r="C4061" s="25" t="s">
        <v>2409</v>
      </c>
      <c r="D4061" s="25" t="s">
        <v>1691</v>
      </c>
      <c r="E4061" s="26">
        <v>1.8E-3</v>
      </c>
      <c r="F4061" s="27" t="s">
        <v>2416</v>
      </c>
      <c r="G4061" s="46">
        <v>16.035999999999998</v>
      </c>
      <c r="H4061" s="27" t="s">
        <v>2410</v>
      </c>
      <c r="I4061" s="46">
        <f>IF(ISNUMBER(G4061),E4061*G4061,"")</f>
        <v>2.8864799999999996E-2</v>
      </c>
      <c r="J4061" s="69"/>
      <c r="K4061" s="70"/>
      <c r="L4061" s="174">
        <v>0</v>
      </c>
    </row>
    <row r="4062" spans="1:12" ht="25.5" hidden="1" x14ac:dyDescent="0.25">
      <c r="A4062" s="186"/>
      <c r="B4062" s="179"/>
      <c r="C4062" s="25" t="s">
        <v>2411</v>
      </c>
      <c r="D4062" s="25" t="s">
        <v>1694</v>
      </c>
      <c r="E4062" s="26">
        <v>2.5999999999999999E-3</v>
      </c>
      <c r="F4062" s="27" t="s">
        <v>2416</v>
      </c>
      <c r="G4062" s="46">
        <v>15.351999999999999</v>
      </c>
      <c r="H4062" s="27" t="s">
        <v>2412</v>
      </c>
      <c r="I4062" s="46">
        <f>IF(ISNUMBER(G4062),E4062*G4062,"")</f>
        <v>3.9915199999999991E-2</v>
      </c>
      <c r="J4062" s="69"/>
      <c r="K4062" s="70"/>
      <c r="L4062" s="174">
        <v>0</v>
      </c>
    </row>
    <row r="4063" spans="1:12" ht="15.75" hidden="1" thickBot="1" x14ac:dyDescent="0.3">
      <c r="A4063" s="187"/>
      <c r="B4063" s="183"/>
      <c r="C4063" s="47"/>
      <c r="D4063" s="47"/>
      <c r="E4063" s="60"/>
      <c r="F4063" s="61"/>
      <c r="G4063" s="73" t="s">
        <v>1079</v>
      </c>
      <c r="H4063" s="61"/>
      <c r="I4063" s="73" t="str">
        <f>IF(ISNUMBER(G4063),E4063*G4063,"")</f>
        <v/>
      </c>
      <c r="J4063" s="75"/>
      <c r="K4063" s="70"/>
      <c r="L4063" s="174">
        <v>0</v>
      </c>
    </row>
    <row r="4064" spans="1:12" ht="15.75" hidden="1" thickBot="1" x14ac:dyDescent="0.3">
      <c r="A4064" s="180" t="s">
        <v>2421</v>
      </c>
      <c r="B4064" s="178" t="str">
        <f>INDEX(Orçamentária!A:B,MATCH(Composições!A4064,Orçamentária!A:A,0),2)</f>
        <v>Telha de fibrocimento modulada - espessura 8mm</v>
      </c>
      <c r="C4064" s="30"/>
      <c r="D4064" s="13" t="str">
        <f>TRIM(INDEX(Orçamentária!C:C,MATCH(Composições!A4064,Orçamentária!A:A,0),1))</f>
        <v>m2</v>
      </c>
      <c r="E4064" s="14"/>
      <c r="F4064" s="15" t="s">
        <v>2422</v>
      </c>
      <c r="G4064" s="40" t="s">
        <v>1079</v>
      </c>
      <c r="H4064" s="16"/>
      <c r="I4064" s="16" t="str">
        <f>IF(ISNUMBER(G4064),E4064*G4064,"")</f>
        <v/>
      </c>
      <c r="J4064" s="17"/>
      <c r="K4064" s="18"/>
      <c r="L4064" s="174">
        <v>0</v>
      </c>
    </row>
    <row r="4065" spans="1:12" hidden="1" x14ac:dyDescent="0.25">
      <c r="A4065" s="186"/>
      <c r="B4065" s="179"/>
      <c r="C4065" s="20"/>
      <c r="D4065" s="20"/>
      <c r="E4065" s="21"/>
      <c r="F4065" s="22"/>
      <c r="G4065" s="46" t="s">
        <v>1079</v>
      </c>
      <c r="H4065" s="20"/>
      <c r="I4065" s="46" t="str">
        <f>IF(ISNUMBER(G4065),E4065*G4065,"")</f>
        <v/>
      </c>
      <c r="J4065" s="69"/>
      <c r="K4065" s="70"/>
      <c r="L4065" s="174">
        <v>0</v>
      </c>
    </row>
    <row r="4066" spans="1:12" hidden="1" x14ac:dyDescent="0.25">
      <c r="A4066" s="186"/>
      <c r="B4066" s="179"/>
      <c r="C4066" s="25" t="s">
        <v>2407</v>
      </c>
      <c r="D4066" s="25" t="s">
        <v>21</v>
      </c>
      <c r="E4066" s="26">
        <v>0.3</v>
      </c>
      <c r="F4066" s="27" t="s">
        <v>2423</v>
      </c>
      <c r="G4066" s="46">
        <v>20.244499999999999</v>
      </c>
      <c r="H4066" s="27" t="s">
        <v>2408</v>
      </c>
      <c r="I4066" s="46">
        <f>IF(ISNUMBER(G4066),E4066*G4066,"")</f>
        <v>6.0733499999999996</v>
      </c>
      <c r="J4066" s="28">
        <f>SUM(I4066:I4072)</f>
        <v>14.668949999999999</v>
      </c>
      <c r="K4066" s="29"/>
      <c r="L4066" s="174">
        <v>0</v>
      </c>
    </row>
    <row r="4067" spans="1:12" hidden="1" x14ac:dyDescent="0.25">
      <c r="A4067" s="186"/>
      <c r="B4067" s="179"/>
      <c r="C4067" s="25" t="s">
        <v>1367</v>
      </c>
      <c r="D4067" s="25" t="s">
        <v>21</v>
      </c>
      <c r="E4067" s="26">
        <v>0.6</v>
      </c>
      <c r="F4067" s="27" t="s">
        <v>2423</v>
      </c>
      <c r="G4067" s="46">
        <v>14.325999999999999</v>
      </c>
      <c r="H4067" s="27" t="s">
        <v>39</v>
      </c>
      <c r="I4067" s="46">
        <f>IF(ISNUMBER(G4067),E4067*G4067,"")</f>
        <v>8.5955999999999992</v>
      </c>
      <c r="J4067" s="69"/>
      <c r="K4067" s="70"/>
      <c r="L4067" s="174">
        <v>0</v>
      </c>
    </row>
    <row r="4068" spans="1:12" hidden="1" x14ac:dyDescent="0.25">
      <c r="A4068" s="186"/>
      <c r="B4068" s="179"/>
      <c r="C4068" s="25" t="s">
        <v>2424</v>
      </c>
      <c r="D4068" s="25" t="s">
        <v>588</v>
      </c>
      <c r="E4068" s="26">
        <v>1.1100000000000001</v>
      </c>
      <c r="F4068" s="27" t="s">
        <v>2423</v>
      </c>
      <c r="G4068" s="46">
        <v>0</v>
      </c>
      <c r="H4068" s="27" t="s">
        <v>2425</v>
      </c>
      <c r="I4068" s="46">
        <f>IF(ISNUMBER(G4068),E4068*G4068,"")</f>
        <v>0</v>
      </c>
      <c r="J4068" s="69"/>
      <c r="K4068" s="70"/>
      <c r="L4068" s="174">
        <v>0</v>
      </c>
    </row>
    <row r="4069" spans="1:12" hidden="1" x14ac:dyDescent="0.25">
      <c r="A4069" s="186"/>
      <c r="B4069" s="179"/>
      <c r="C4069" s="25" t="s">
        <v>2426</v>
      </c>
      <c r="D4069" s="25" t="s">
        <v>189</v>
      </c>
      <c r="E4069" s="26">
        <v>1.24</v>
      </c>
      <c r="F4069" s="27" t="s">
        <v>2423</v>
      </c>
      <c r="G4069" s="46">
        <v>0</v>
      </c>
      <c r="H4069" s="27" t="s">
        <v>2425</v>
      </c>
      <c r="I4069" s="46">
        <f>IF(ISNUMBER(G4069),E4069*G4069,"")</f>
        <v>0</v>
      </c>
      <c r="J4069" s="69"/>
      <c r="K4069" s="70"/>
      <c r="L4069" s="174">
        <v>0</v>
      </c>
    </row>
    <row r="4070" spans="1:12" ht="25.5" hidden="1" x14ac:dyDescent="0.25">
      <c r="A4070" s="186"/>
      <c r="B4070" s="179"/>
      <c r="C4070" s="25" t="s">
        <v>2427</v>
      </c>
      <c r="D4070" s="25" t="s">
        <v>588</v>
      </c>
      <c r="E4070" s="26">
        <v>1.1100000000000001</v>
      </c>
      <c r="F4070" s="27" t="s">
        <v>2423</v>
      </c>
      <c r="G4070" s="46">
        <v>0</v>
      </c>
      <c r="H4070" s="27" t="s">
        <v>2425</v>
      </c>
      <c r="I4070" s="46">
        <f>IF(ISNUMBER(G4070),E4070*G4070,"")</f>
        <v>0</v>
      </c>
      <c r="J4070" s="69"/>
      <c r="K4070" s="70"/>
      <c r="L4070" s="174">
        <v>0</v>
      </c>
    </row>
    <row r="4071" spans="1:12" hidden="1" x14ac:dyDescent="0.25">
      <c r="A4071" s="186"/>
      <c r="B4071" s="179"/>
      <c r="C4071" s="25" t="s">
        <v>2428</v>
      </c>
      <c r="D4071" s="25" t="s">
        <v>588</v>
      </c>
      <c r="E4071" s="26">
        <v>1</v>
      </c>
      <c r="F4071" s="27" t="s">
        <v>2423</v>
      </c>
      <c r="G4071" s="46">
        <v>0</v>
      </c>
      <c r="H4071" s="27" t="s">
        <v>2425</v>
      </c>
      <c r="I4071" s="46">
        <f>IF(ISNUMBER(G4071),E4071*G4071,"")</f>
        <v>0</v>
      </c>
      <c r="J4071" s="69"/>
      <c r="K4071" s="70"/>
      <c r="L4071" s="174">
        <v>0</v>
      </c>
    </row>
    <row r="4072" spans="1:12" hidden="1" x14ac:dyDescent="0.25">
      <c r="A4072" s="186"/>
      <c r="B4072" s="179"/>
      <c r="C4072" s="25" t="s">
        <v>2429</v>
      </c>
      <c r="D4072" s="25" t="s">
        <v>588</v>
      </c>
      <c r="E4072" s="26">
        <v>1.1100000000000001</v>
      </c>
      <c r="F4072" s="27" t="s">
        <v>2423</v>
      </c>
      <c r="G4072" s="46">
        <v>0</v>
      </c>
      <c r="H4072" s="27" t="s">
        <v>2425</v>
      </c>
      <c r="I4072" s="46">
        <f>IF(ISNUMBER(G4072),E4072*G4072,"")</f>
        <v>0</v>
      </c>
      <c r="J4072" s="69"/>
      <c r="K4072" s="70"/>
      <c r="L4072" s="174">
        <v>0</v>
      </c>
    </row>
    <row r="4073" spans="1:12" ht="15.75" hidden="1" thickBot="1" x14ac:dyDescent="0.3">
      <c r="A4073" s="187"/>
      <c r="B4073" s="183"/>
      <c r="C4073" s="47"/>
      <c r="D4073" s="47"/>
      <c r="E4073" s="60"/>
      <c r="F4073" s="61"/>
      <c r="G4073" s="73" t="s">
        <v>1079</v>
      </c>
      <c r="H4073" s="61"/>
      <c r="I4073" s="73" t="str">
        <f>IF(ISNUMBER(G4073),E4073*G4073,"")</f>
        <v/>
      </c>
      <c r="J4073" s="75"/>
      <c r="K4073" s="70"/>
      <c r="L4073" s="174">
        <v>0</v>
      </c>
    </row>
    <row r="4074" spans="1:12" ht="15.75" hidden="1" thickBot="1" x14ac:dyDescent="0.3">
      <c r="A4074" s="180" t="s">
        <v>2430</v>
      </c>
      <c r="B4074" s="178" t="str">
        <f>INDEX(Orçamentária!A:B,MATCH(Composições!A4074,Orçamentária!A:A,0),2)</f>
        <v>Cumeeira articulada ABA SUPERIOR de fibrocimento para telha modulada - espessura 6 mm</v>
      </c>
      <c r="C4074" s="30"/>
      <c r="D4074" s="13" t="str">
        <f>TRIM(INDEX(Orçamentária!C:C,MATCH(Composições!A4074,Orçamentária!A:A,0),1))</f>
        <v>m</v>
      </c>
      <c r="E4074" s="14"/>
      <c r="F4074" s="15" t="s">
        <v>2431</v>
      </c>
      <c r="G4074" s="40" t="s">
        <v>1079</v>
      </c>
      <c r="H4074" s="16"/>
      <c r="I4074" s="16" t="str">
        <f>IF(ISNUMBER(G4074),E4074*G4074,"")</f>
        <v/>
      </c>
      <c r="J4074" s="17"/>
      <c r="K4074" s="18"/>
      <c r="L4074" s="174">
        <v>0</v>
      </c>
    </row>
    <row r="4075" spans="1:12" hidden="1" x14ac:dyDescent="0.25">
      <c r="A4075" s="186"/>
      <c r="B4075" s="179"/>
      <c r="C4075" s="20"/>
      <c r="D4075" s="20"/>
      <c r="E4075" s="21"/>
      <c r="F4075" s="22"/>
      <c r="G4075" s="46" t="s">
        <v>1079</v>
      </c>
      <c r="H4075" s="20"/>
      <c r="I4075" s="46" t="str">
        <f>IF(ISNUMBER(G4075),E4075*G4075,"")</f>
        <v/>
      </c>
      <c r="J4075" s="69"/>
      <c r="K4075" s="70"/>
      <c r="L4075" s="174">
        <v>0</v>
      </c>
    </row>
    <row r="4076" spans="1:12" hidden="1" x14ac:dyDescent="0.25">
      <c r="A4076" s="186"/>
      <c r="B4076" s="179"/>
      <c r="C4076" s="25" t="s">
        <v>2407</v>
      </c>
      <c r="D4076" s="25" t="s">
        <v>21</v>
      </c>
      <c r="E4076" s="26">
        <f>0.12/2</f>
        <v>0.06</v>
      </c>
      <c r="F4076" s="27" t="s">
        <v>2423</v>
      </c>
      <c r="G4076" s="46">
        <v>20.244499999999999</v>
      </c>
      <c r="H4076" s="27" t="s">
        <v>2408</v>
      </c>
      <c r="I4076" s="46">
        <f>IF(ISNUMBER(G4076),E4076*G4076,"")</f>
        <v>1.2146699999999999</v>
      </c>
      <c r="J4076" s="28">
        <f>SUM(I4076:I4080)</f>
        <v>2.07423</v>
      </c>
      <c r="K4076" s="29"/>
      <c r="L4076" s="174">
        <v>0</v>
      </c>
    </row>
    <row r="4077" spans="1:12" hidden="1" x14ac:dyDescent="0.25">
      <c r="A4077" s="186"/>
      <c r="B4077" s="179"/>
      <c r="C4077" s="25" t="s">
        <v>1367</v>
      </c>
      <c r="D4077" s="25" t="s">
        <v>21</v>
      </c>
      <c r="E4077" s="26">
        <f>0.12/2</f>
        <v>0.06</v>
      </c>
      <c r="F4077" s="27" t="s">
        <v>2423</v>
      </c>
      <c r="G4077" s="46">
        <v>14.325999999999999</v>
      </c>
      <c r="H4077" s="27" t="s">
        <v>39</v>
      </c>
      <c r="I4077" s="46">
        <f>IF(ISNUMBER(G4077),E4077*G4077,"")</f>
        <v>0.85955999999999988</v>
      </c>
      <c r="J4077" s="69"/>
      <c r="K4077" s="70"/>
      <c r="L4077" s="174">
        <v>0</v>
      </c>
    </row>
    <row r="4078" spans="1:12" hidden="1" x14ac:dyDescent="0.25">
      <c r="A4078" s="186"/>
      <c r="B4078" s="179"/>
      <c r="C4078" s="25" t="s">
        <v>2424</v>
      </c>
      <c r="D4078" s="25" t="s">
        <v>588</v>
      </c>
      <c r="E4078" s="26">
        <f>4.12/2</f>
        <v>2.06</v>
      </c>
      <c r="F4078" s="27" t="s">
        <v>2423</v>
      </c>
      <c r="G4078" s="46">
        <v>0</v>
      </c>
      <c r="H4078" s="27" t="s">
        <v>2432</v>
      </c>
      <c r="I4078" s="46">
        <f>IF(ISNUMBER(G4078),E4078*G4078,"")</f>
        <v>0</v>
      </c>
      <c r="J4078" s="69"/>
      <c r="K4078" s="70"/>
      <c r="L4078" s="174">
        <v>0</v>
      </c>
    </row>
    <row r="4079" spans="1:12" ht="25.5" hidden="1" x14ac:dyDescent="0.25">
      <c r="A4079" s="186"/>
      <c r="B4079" s="179"/>
      <c r="C4079" s="25" t="s">
        <v>2433</v>
      </c>
      <c r="D4079" s="25" t="s">
        <v>588</v>
      </c>
      <c r="E4079" s="26">
        <v>2.06</v>
      </c>
      <c r="F4079" s="27" t="s">
        <v>2423</v>
      </c>
      <c r="G4079" s="46">
        <v>0</v>
      </c>
      <c r="H4079" s="27" t="s">
        <v>2432</v>
      </c>
      <c r="I4079" s="46">
        <f>IF(ISNUMBER(G4079),E4079*G4079,"")</f>
        <v>0</v>
      </c>
      <c r="J4079" s="69"/>
      <c r="K4079" s="70"/>
      <c r="L4079" s="174">
        <v>0</v>
      </c>
    </row>
    <row r="4080" spans="1:12" hidden="1" x14ac:dyDescent="0.25">
      <c r="A4080" s="186"/>
      <c r="B4080" s="179"/>
      <c r="C4080" s="25" t="s">
        <v>2429</v>
      </c>
      <c r="D4080" s="25" t="s">
        <v>588</v>
      </c>
      <c r="E4080" s="26">
        <f>4.12/2</f>
        <v>2.06</v>
      </c>
      <c r="F4080" s="27" t="s">
        <v>2423</v>
      </c>
      <c r="G4080" s="46">
        <v>0</v>
      </c>
      <c r="H4080" s="27" t="s">
        <v>2432</v>
      </c>
      <c r="I4080" s="46">
        <f>IF(ISNUMBER(G4080),E4080*G4080,"")</f>
        <v>0</v>
      </c>
      <c r="J4080" s="69"/>
      <c r="K4080" s="70"/>
      <c r="L4080" s="174">
        <v>0</v>
      </c>
    </row>
    <row r="4081" spans="1:12" ht="15.75" hidden="1" thickBot="1" x14ac:dyDescent="0.3">
      <c r="A4081" s="187"/>
      <c r="B4081" s="183"/>
      <c r="C4081" s="47"/>
      <c r="D4081" s="47"/>
      <c r="E4081" s="60"/>
      <c r="F4081" s="61"/>
      <c r="G4081" s="73" t="s">
        <v>1079</v>
      </c>
      <c r="H4081" s="61"/>
      <c r="I4081" s="73" t="str">
        <f>IF(ISNUMBER(G4081),E4081*G4081,"")</f>
        <v/>
      </c>
      <c r="J4081" s="75"/>
      <c r="K4081" s="70"/>
      <c r="L4081" s="174">
        <v>0</v>
      </c>
    </row>
    <row r="4082" spans="1:12" ht="15.75" hidden="1" thickBot="1" x14ac:dyDescent="0.3">
      <c r="A4082" s="180" t="s">
        <v>2434</v>
      </c>
      <c r="B4082" s="178" t="str">
        <f>INDEX(Orçamentária!A:B,MATCH(Composições!A4082,Orçamentária!A:A,0),2)</f>
        <v>Cumeeira articulada ABA INFERIOR de fibrocimento para telha modulada - espessura 6 mm</v>
      </c>
      <c r="C4082" s="30"/>
      <c r="D4082" s="13" t="str">
        <f>TRIM(INDEX(Orçamentária!C:C,MATCH(Composições!A4082,Orçamentária!A:A,0),1))</f>
        <v>m</v>
      </c>
      <c r="E4082" s="14"/>
      <c r="F4082" s="15" t="s">
        <v>2431</v>
      </c>
      <c r="G4082" s="40" t="s">
        <v>1079</v>
      </c>
      <c r="H4082" s="16"/>
      <c r="I4082" s="16" t="str">
        <f>IF(ISNUMBER(G4082),E4082*G4082,"")</f>
        <v/>
      </c>
      <c r="J4082" s="17"/>
      <c r="K4082" s="18"/>
      <c r="L4082" s="174">
        <v>0</v>
      </c>
    </row>
    <row r="4083" spans="1:12" hidden="1" x14ac:dyDescent="0.25">
      <c r="A4083" s="186"/>
      <c r="B4083" s="179"/>
      <c r="C4083" s="20"/>
      <c r="D4083" s="20"/>
      <c r="E4083" s="21"/>
      <c r="F4083" s="22"/>
      <c r="G4083" s="46" t="s">
        <v>1079</v>
      </c>
      <c r="H4083" s="20"/>
      <c r="I4083" s="46" t="str">
        <f>IF(ISNUMBER(G4083),E4083*G4083,"")</f>
        <v/>
      </c>
      <c r="J4083" s="69"/>
      <c r="K4083" s="70"/>
      <c r="L4083" s="174">
        <v>0</v>
      </c>
    </row>
    <row r="4084" spans="1:12" hidden="1" x14ac:dyDescent="0.25">
      <c r="A4084" s="186"/>
      <c r="B4084" s="179"/>
      <c r="C4084" s="25" t="s">
        <v>2407</v>
      </c>
      <c r="D4084" s="25" t="s">
        <v>21</v>
      </c>
      <c r="E4084" s="26">
        <f>0.12/2</f>
        <v>0.06</v>
      </c>
      <c r="F4084" s="27" t="s">
        <v>2435</v>
      </c>
      <c r="G4084" s="46">
        <v>20.244499999999999</v>
      </c>
      <c r="H4084" s="27" t="s">
        <v>2408</v>
      </c>
      <c r="I4084" s="46">
        <f>IF(ISNUMBER(G4084),E4084*G4084,"")</f>
        <v>1.2146699999999999</v>
      </c>
      <c r="J4084" s="28">
        <f>SUM(I4084:I4088)</f>
        <v>2.07423</v>
      </c>
      <c r="K4084" s="29"/>
      <c r="L4084" s="174">
        <v>0</v>
      </c>
    </row>
    <row r="4085" spans="1:12" hidden="1" x14ac:dyDescent="0.25">
      <c r="A4085" s="186"/>
      <c r="B4085" s="179"/>
      <c r="C4085" s="25" t="s">
        <v>1367</v>
      </c>
      <c r="D4085" s="25" t="s">
        <v>21</v>
      </c>
      <c r="E4085" s="26">
        <f>0.12/2</f>
        <v>0.06</v>
      </c>
      <c r="F4085" s="27" t="s">
        <v>2435</v>
      </c>
      <c r="G4085" s="46">
        <v>14.325999999999999</v>
      </c>
      <c r="H4085" s="27" t="s">
        <v>39</v>
      </c>
      <c r="I4085" s="46">
        <f>IF(ISNUMBER(G4085),E4085*G4085,"")</f>
        <v>0.85955999999999988</v>
      </c>
      <c r="J4085" s="69"/>
      <c r="K4085" s="70"/>
      <c r="L4085" s="174">
        <v>0</v>
      </c>
    </row>
    <row r="4086" spans="1:12" hidden="1" x14ac:dyDescent="0.25">
      <c r="A4086" s="186"/>
      <c r="B4086" s="179"/>
      <c r="C4086" s="25" t="s">
        <v>2424</v>
      </c>
      <c r="D4086" s="25" t="s">
        <v>588</v>
      </c>
      <c r="E4086" s="26">
        <f>4.12/2</f>
        <v>2.06</v>
      </c>
      <c r="F4086" s="27" t="s">
        <v>2435</v>
      </c>
      <c r="G4086" s="46">
        <v>0</v>
      </c>
      <c r="H4086" s="27" t="s">
        <v>2432</v>
      </c>
      <c r="I4086" s="46">
        <f>IF(ISNUMBER(G4086),E4086*G4086,"")</f>
        <v>0</v>
      </c>
      <c r="J4086" s="69"/>
      <c r="K4086" s="70"/>
      <c r="L4086" s="174">
        <v>0</v>
      </c>
    </row>
    <row r="4087" spans="1:12" ht="25.5" hidden="1" x14ac:dyDescent="0.25">
      <c r="A4087" s="186"/>
      <c r="B4087" s="179"/>
      <c r="C4087" s="25" t="s">
        <v>2436</v>
      </c>
      <c r="D4087" s="25" t="s">
        <v>588</v>
      </c>
      <c r="E4087" s="26">
        <v>2.06</v>
      </c>
      <c r="F4087" s="27" t="s">
        <v>2435</v>
      </c>
      <c r="G4087" s="46">
        <v>0</v>
      </c>
      <c r="H4087" s="27" t="s">
        <v>2432</v>
      </c>
      <c r="I4087" s="46">
        <f>IF(ISNUMBER(G4087),E4087*G4087,"")</f>
        <v>0</v>
      </c>
      <c r="J4087" s="69"/>
      <c r="K4087" s="70"/>
      <c r="L4087" s="174">
        <v>0</v>
      </c>
    </row>
    <row r="4088" spans="1:12" hidden="1" x14ac:dyDescent="0.25">
      <c r="A4088" s="186"/>
      <c r="B4088" s="179"/>
      <c r="C4088" s="25" t="s">
        <v>2429</v>
      </c>
      <c r="D4088" s="25" t="s">
        <v>588</v>
      </c>
      <c r="E4088" s="26">
        <f>4.12/2</f>
        <v>2.06</v>
      </c>
      <c r="F4088" s="27" t="s">
        <v>2435</v>
      </c>
      <c r="G4088" s="46">
        <v>0</v>
      </c>
      <c r="H4088" s="27" t="s">
        <v>2432</v>
      </c>
      <c r="I4088" s="46">
        <f>IF(ISNUMBER(G4088),E4088*G4088,"")</f>
        <v>0</v>
      </c>
      <c r="J4088" s="69"/>
      <c r="K4088" s="70"/>
      <c r="L4088" s="174">
        <v>0</v>
      </c>
    </row>
    <row r="4089" spans="1:12" ht="15.75" hidden="1" thickBot="1" x14ac:dyDescent="0.3">
      <c r="A4089" s="187"/>
      <c r="B4089" s="183"/>
      <c r="C4089" s="47"/>
      <c r="D4089" s="47"/>
      <c r="E4089" s="60"/>
      <c r="F4089" s="61"/>
      <c r="G4089" s="73" t="s">
        <v>1079</v>
      </c>
      <c r="H4089" s="61"/>
      <c r="I4089" s="73" t="str">
        <f>IF(ISNUMBER(G4089),E4089*G4089,"")</f>
        <v/>
      </c>
      <c r="J4089" s="75"/>
      <c r="K4089" s="70"/>
      <c r="L4089" s="174">
        <v>0</v>
      </c>
    </row>
    <row r="4090" spans="1:12" ht="15.75" hidden="1" thickBot="1" x14ac:dyDescent="0.3">
      <c r="A4090" s="180" t="s">
        <v>2437</v>
      </c>
      <c r="B4090" s="178" t="str">
        <f>INDEX(Orçamentária!A:B,MATCH(Composições!A4090,Orçamentária!A:A,0),2)</f>
        <v>Telha de fibrocimento ondulada - espessura 6mm</v>
      </c>
      <c r="C4090" s="30"/>
      <c r="D4090" s="13" t="str">
        <f>TRIM(INDEX(Orçamentária!C:C,MATCH(Composições!A4090,Orçamentária!A:A,0),1))</f>
        <v>m2</v>
      </c>
      <c r="E4090" s="14"/>
      <c r="F4090" s="15" t="s">
        <v>2438</v>
      </c>
      <c r="G4090" s="40" t="s">
        <v>1079</v>
      </c>
      <c r="H4090" s="16"/>
      <c r="I4090" s="16" t="str">
        <f>IF(ISNUMBER(G4090),E4090*G4090,"")</f>
        <v/>
      </c>
      <c r="J4090" s="17"/>
      <c r="K4090" s="18"/>
      <c r="L4090" s="174">
        <v>0</v>
      </c>
    </row>
    <row r="4091" spans="1:12" hidden="1" x14ac:dyDescent="0.25">
      <c r="A4091" s="186"/>
      <c r="B4091" s="179"/>
      <c r="C4091" s="20"/>
      <c r="D4091" s="20"/>
      <c r="E4091" s="21"/>
      <c r="F4091" s="22"/>
      <c r="G4091" s="46" t="s">
        <v>1079</v>
      </c>
      <c r="H4091" s="20"/>
      <c r="I4091" s="46" t="str">
        <f>IF(ISNUMBER(G4091),E4091*G4091,"")</f>
        <v/>
      </c>
      <c r="J4091" s="69"/>
      <c r="K4091" s="70"/>
      <c r="L4091" s="174">
        <v>0</v>
      </c>
    </row>
    <row r="4092" spans="1:12" ht="38.25" hidden="1" x14ac:dyDescent="0.25">
      <c r="A4092" s="186"/>
      <c r="B4092" s="179"/>
      <c r="C4092" s="25" t="s">
        <v>2439</v>
      </c>
      <c r="D4092" s="36" t="s">
        <v>1438</v>
      </c>
      <c r="E4092" s="26">
        <v>1.27</v>
      </c>
      <c r="F4092" s="27" t="s">
        <v>2438</v>
      </c>
      <c r="G4092" s="46">
        <v>0.14249999999999999</v>
      </c>
      <c r="H4092" s="27" t="s">
        <v>2440</v>
      </c>
      <c r="I4092" s="46">
        <f>IF(ISNUMBER(G4092),E4092*G4092,"")</f>
        <v>0.180975</v>
      </c>
      <c r="J4092" s="28">
        <f>SUM(I4092:I4098)</f>
        <v>27.3504088</v>
      </c>
      <c r="K4092" s="29"/>
      <c r="L4092" s="174">
        <v>0</v>
      </c>
    </row>
    <row r="4093" spans="1:12" ht="25.5" hidden="1" x14ac:dyDescent="0.25">
      <c r="A4093" s="186"/>
      <c r="B4093" s="179"/>
      <c r="C4093" s="25" t="s">
        <v>2441</v>
      </c>
      <c r="D4093" s="25" t="s">
        <v>588</v>
      </c>
      <c r="E4093" s="26">
        <v>1.27</v>
      </c>
      <c r="F4093" s="27" t="s">
        <v>2438</v>
      </c>
      <c r="G4093" s="46">
        <v>2.1659999999999999</v>
      </c>
      <c r="H4093" s="27" t="s">
        <v>2442</v>
      </c>
      <c r="I4093" s="46">
        <f>IF(ISNUMBER(G4093),E4093*G4093,"")</f>
        <v>2.75082</v>
      </c>
      <c r="J4093" s="69"/>
      <c r="K4093" s="70"/>
      <c r="L4093" s="174">
        <v>0</v>
      </c>
    </row>
    <row r="4094" spans="1:12" ht="25.5" hidden="1" x14ac:dyDescent="0.25">
      <c r="A4094" s="186"/>
      <c r="B4094" s="179"/>
      <c r="C4094" s="25" t="s">
        <v>2443</v>
      </c>
      <c r="D4094" s="25" t="s">
        <v>1795</v>
      </c>
      <c r="E4094" s="26">
        <v>1.2749999999999999</v>
      </c>
      <c r="F4094" s="27" t="s">
        <v>2438</v>
      </c>
      <c r="G4094" s="46">
        <v>15.494499999999999</v>
      </c>
      <c r="H4094" s="27" t="s">
        <v>2444</v>
      </c>
      <c r="I4094" s="46">
        <f>IF(ISNUMBER(G4094),E4094*G4094,"")</f>
        <v>19.755487499999997</v>
      </c>
      <c r="J4094" s="69"/>
      <c r="K4094" s="70"/>
      <c r="L4094" s="174">
        <v>0</v>
      </c>
    </row>
    <row r="4095" spans="1:12" hidden="1" x14ac:dyDescent="0.25">
      <c r="A4095" s="186"/>
      <c r="B4095" s="179"/>
      <c r="C4095" s="25" t="s">
        <v>1367</v>
      </c>
      <c r="D4095" s="25" t="s">
        <v>1366</v>
      </c>
      <c r="E4095" s="26">
        <v>0.15</v>
      </c>
      <c r="F4095" s="27" t="s">
        <v>2438</v>
      </c>
      <c r="G4095" s="46">
        <v>14.325999999999999</v>
      </c>
      <c r="H4095" s="27" t="s">
        <v>39</v>
      </c>
      <c r="I4095" s="46">
        <f>IF(ISNUMBER(G4095),E4095*G4095,"")</f>
        <v>2.1488999999999998</v>
      </c>
      <c r="J4095" s="69"/>
      <c r="K4095" s="70"/>
      <c r="L4095" s="174">
        <v>0</v>
      </c>
    </row>
    <row r="4096" spans="1:12" hidden="1" x14ac:dyDescent="0.25">
      <c r="A4096" s="186"/>
      <c r="B4096" s="179"/>
      <c r="C4096" s="25" t="s">
        <v>2407</v>
      </c>
      <c r="D4096" s="25" t="s">
        <v>1366</v>
      </c>
      <c r="E4096" s="26">
        <v>0.115</v>
      </c>
      <c r="F4096" s="27" t="s">
        <v>2438</v>
      </c>
      <c r="G4096" s="46">
        <v>20.244499999999999</v>
      </c>
      <c r="H4096" s="27" t="s">
        <v>2408</v>
      </c>
      <c r="I4096" s="46">
        <f>IF(ISNUMBER(G4096),E4096*G4096,"")</f>
        <v>2.3281174999999998</v>
      </c>
      <c r="J4096" s="69"/>
      <c r="K4096" s="70"/>
      <c r="L4096" s="174">
        <v>0</v>
      </c>
    </row>
    <row r="4097" spans="1:12" ht="25.5" hidden="1" x14ac:dyDescent="0.25">
      <c r="A4097" s="186"/>
      <c r="B4097" s="179"/>
      <c r="C4097" s="25" t="s">
        <v>2409</v>
      </c>
      <c r="D4097" s="25" t="s">
        <v>1691</v>
      </c>
      <c r="E4097" s="26">
        <v>5.0000000000000001E-3</v>
      </c>
      <c r="F4097" s="27" t="s">
        <v>2438</v>
      </c>
      <c r="G4097" s="46">
        <v>16.035999999999998</v>
      </c>
      <c r="H4097" s="27" t="s">
        <v>2410</v>
      </c>
      <c r="I4097" s="46">
        <f>IF(ISNUMBER(G4097),E4097*G4097,"")</f>
        <v>8.0179999999999987E-2</v>
      </c>
      <c r="J4097" s="69"/>
      <c r="K4097" s="70"/>
      <c r="L4097" s="174">
        <v>0</v>
      </c>
    </row>
    <row r="4098" spans="1:12" ht="25.5" hidden="1" x14ac:dyDescent="0.25">
      <c r="A4098" s="186"/>
      <c r="B4098" s="179"/>
      <c r="C4098" s="25" t="s">
        <v>2411</v>
      </c>
      <c r="D4098" s="25" t="s">
        <v>1694</v>
      </c>
      <c r="E4098" s="26">
        <v>6.8999999999999999E-3</v>
      </c>
      <c r="F4098" s="27" t="s">
        <v>2438</v>
      </c>
      <c r="G4098" s="46">
        <v>15.351999999999999</v>
      </c>
      <c r="H4098" s="27" t="s">
        <v>2412</v>
      </c>
      <c r="I4098" s="46">
        <f>IF(ISNUMBER(G4098),E4098*G4098,"")</f>
        <v>0.10592879999999999</v>
      </c>
      <c r="J4098" s="69"/>
      <c r="K4098" s="70"/>
      <c r="L4098" s="174">
        <v>0</v>
      </c>
    </row>
    <row r="4099" spans="1:12" ht="15.75" hidden="1" thickBot="1" x14ac:dyDescent="0.3">
      <c r="A4099" s="187"/>
      <c r="B4099" s="183"/>
      <c r="C4099" s="47"/>
      <c r="D4099" s="47"/>
      <c r="E4099" s="60"/>
      <c r="F4099" s="61"/>
      <c r="G4099" s="73" t="s">
        <v>1079</v>
      </c>
      <c r="H4099" s="61"/>
      <c r="I4099" s="73" t="str">
        <f>IF(ISNUMBER(G4099),E4099*G4099,"")</f>
        <v/>
      </c>
      <c r="J4099" s="75"/>
      <c r="K4099" s="70"/>
      <c r="L4099" s="174">
        <v>0</v>
      </c>
    </row>
    <row r="4100" spans="1:12" ht="15.75" hidden="1" thickBot="1" x14ac:dyDescent="0.3">
      <c r="A4100" s="180" t="s">
        <v>2445</v>
      </c>
      <c r="B4100" s="178" t="str">
        <f>INDEX(Orçamentária!A:B,MATCH(Composições!A4100,Orçamentária!A:A,0),2)</f>
        <v>Cumeeira UNIVERSAL para telha de fibrocimento ondulada - espessura 6 mm</v>
      </c>
      <c r="C4100" s="30"/>
      <c r="D4100" s="13" t="str">
        <f>TRIM(INDEX(Orçamentária!C:C,MATCH(Composições!A4100,Orçamentária!A:A,0),1))</f>
        <v>m</v>
      </c>
      <c r="E4100" s="14"/>
      <c r="F4100" s="15" t="s">
        <v>2416</v>
      </c>
      <c r="G4100" s="40" t="s">
        <v>1079</v>
      </c>
      <c r="H4100" s="16"/>
      <c r="I4100" s="16" t="str">
        <f>IF(ISNUMBER(G4100),E4100*G4100,"")</f>
        <v/>
      </c>
      <c r="J4100" s="17"/>
      <c r="K4100" s="18"/>
      <c r="L4100" s="174">
        <v>0</v>
      </c>
    </row>
    <row r="4101" spans="1:12" hidden="1" x14ac:dyDescent="0.25">
      <c r="A4101" s="186"/>
      <c r="B4101" s="179"/>
      <c r="C4101" s="20"/>
      <c r="D4101" s="20"/>
      <c r="E4101" s="21"/>
      <c r="F4101" s="22"/>
      <c r="G4101" s="46" t="s">
        <v>1079</v>
      </c>
      <c r="H4101" s="20"/>
      <c r="I4101" s="46" t="str">
        <f>IF(ISNUMBER(G4101),E4101*G4101,"")</f>
        <v/>
      </c>
      <c r="J4101" s="69"/>
      <c r="K4101" s="70"/>
      <c r="L4101" s="174">
        <v>0</v>
      </c>
    </row>
    <row r="4102" spans="1:12" ht="38.25" hidden="1" x14ac:dyDescent="0.25">
      <c r="A4102" s="186"/>
      <c r="B4102" s="179"/>
      <c r="C4102" s="25" t="s">
        <v>2439</v>
      </c>
      <c r="D4102" s="36" t="s">
        <v>1438</v>
      </c>
      <c r="E4102" s="26">
        <v>4.2</v>
      </c>
      <c r="F4102" s="27" t="s">
        <v>2416</v>
      </c>
      <c r="G4102" s="46">
        <v>0.14249999999999999</v>
      </c>
      <c r="H4102" s="27" t="s">
        <v>2440</v>
      </c>
      <c r="I4102" s="46">
        <f>IF(ISNUMBER(G4102),E4102*G4102,"")</f>
        <v>0.59849999999999992</v>
      </c>
      <c r="J4102" s="28">
        <f>SUM(I4102:I4108)</f>
        <v>34.674781500000002</v>
      </c>
      <c r="K4102" s="29"/>
      <c r="L4102" s="174">
        <v>0</v>
      </c>
    </row>
    <row r="4103" spans="1:12" ht="25.5" hidden="1" x14ac:dyDescent="0.25">
      <c r="A4103" s="186"/>
      <c r="B4103" s="179"/>
      <c r="C4103" s="25" t="s">
        <v>2441</v>
      </c>
      <c r="D4103" s="25" t="s">
        <v>588</v>
      </c>
      <c r="E4103" s="26">
        <v>4.2</v>
      </c>
      <c r="F4103" s="27" t="s">
        <v>2416</v>
      </c>
      <c r="G4103" s="46">
        <v>2.1659999999999999</v>
      </c>
      <c r="H4103" s="27" t="s">
        <v>2442</v>
      </c>
      <c r="I4103" s="46">
        <f>IF(ISNUMBER(G4103),E4103*G4103,"")</f>
        <v>9.0972000000000008</v>
      </c>
      <c r="J4103" s="69"/>
      <c r="K4103" s="70"/>
      <c r="L4103" s="174">
        <v>0</v>
      </c>
    </row>
    <row r="4104" spans="1:12" ht="25.5" hidden="1" x14ac:dyDescent="0.25">
      <c r="A4104" s="186"/>
      <c r="B4104" s="179"/>
      <c r="C4104" s="25" t="s">
        <v>2446</v>
      </c>
      <c r="D4104" s="25" t="s">
        <v>588</v>
      </c>
      <c r="E4104" s="26">
        <v>1.0289999999999999</v>
      </c>
      <c r="F4104" s="27" t="s">
        <v>2416</v>
      </c>
      <c r="G4104" s="46">
        <v>22.011500000000002</v>
      </c>
      <c r="H4104" s="27" t="s">
        <v>2447</v>
      </c>
      <c r="I4104" s="46">
        <f>IF(ISNUMBER(G4104),E4104*G4104,"")</f>
        <v>22.6498335</v>
      </c>
      <c r="J4104" s="69"/>
      <c r="K4104" s="70"/>
      <c r="L4104" s="174">
        <v>0</v>
      </c>
    </row>
    <row r="4105" spans="1:12" hidden="1" x14ac:dyDescent="0.25">
      <c r="A4105" s="186"/>
      <c r="B4105" s="179"/>
      <c r="C4105" s="25" t="s">
        <v>1367</v>
      </c>
      <c r="D4105" s="25" t="s">
        <v>1366</v>
      </c>
      <c r="E4105" s="26">
        <v>7.2999999999999995E-2</v>
      </c>
      <c r="F4105" s="27" t="s">
        <v>2416</v>
      </c>
      <c r="G4105" s="46">
        <v>14.325999999999999</v>
      </c>
      <c r="H4105" s="27" t="s">
        <v>39</v>
      </c>
      <c r="I4105" s="46">
        <f>IF(ISNUMBER(G4105),E4105*G4105,"")</f>
        <v>1.0457979999999998</v>
      </c>
      <c r="J4105" s="69"/>
      <c r="K4105" s="70"/>
      <c r="L4105" s="174">
        <v>0</v>
      </c>
    </row>
    <row r="4106" spans="1:12" hidden="1" x14ac:dyDescent="0.25">
      <c r="A4106" s="186"/>
      <c r="B4106" s="179"/>
      <c r="C4106" s="25" t="s">
        <v>2407</v>
      </c>
      <c r="D4106" s="25" t="s">
        <v>1366</v>
      </c>
      <c r="E4106" s="26">
        <v>0.06</v>
      </c>
      <c r="F4106" s="27" t="s">
        <v>2416</v>
      </c>
      <c r="G4106" s="46">
        <v>20.244499999999999</v>
      </c>
      <c r="H4106" s="27" t="s">
        <v>2408</v>
      </c>
      <c r="I4106" s="46">
        <f>IF(ISNUMBER(G4106),E4106*G4106,"")</f>
        <v>1.2146699999999999</v>
      </c>
      <c r="J4106" s="69"/>
      <c r="K4106" s="70"/>
      <c r="L4106" s="174">
        <v>0</v>
      </c>
    </row>
    <row r="4107" spans="1:12" ht="25.5" hidden="1" x14ac:dyDescent="0.25">
      <c r="A4107" s="186"/>
      <c r="B4107" s="179"/>
      <c r="C4107" s="25" t="s">
        <v>2409</v>
      </c>
      <c r="D4107" s="25" t="s">
        <v>1691</v>
      </c>
      <c r="E4107" s="26">
        <v>1.8E-3</v>
      </c>
      <c r="F4107" s="27" t="s">
        <v>2416</v>
      </c>
      <c r="G4107" s="46">
        <v>16.035999999999998</v>
      </c>
      <c r="H4107" s="27" t="s">
        <v>2410</v>
      </c>
      <c r="I4107" s="46">
        <f>IF(ISNUMBER(G4107),E4107*G4107,"")</f>
        <v>2.8864799999999996E-2</v>
      </c>
      <c r="J4107" s="69"/>
      <c r="K4107" s="70"/>
      <c r="L4107" s="174">
        <v>0</v>
      </c>
    </row>
    <row r="4108" spans="1:12" ht="25.5" hidden="1" x14ac:dyDescent="0.25">
      <c r="A4108" s="186"/>
      <c r="B4108" s="179"/>
      <c r="C4108" s="25" t="s">
        <v>2411</v>
      </c>
      <c r="D4108" s="25" t="s">
        <v>1694</v>
      </c>
      <c r="E4108" s="26">
        <v>2.5999999999999999E-3</v>
      </c>
      <c r="F4108" s="27" t="s">
        <v>2416</v>
      </c>
      <c r="G4108" s="46">
        <v>15.351999999999999</v>
      </c>
      <c r="H4108" s="27" t="s">
        <v>2412</v>
      </c>
      <c r="I4108" s="46">
        <f>IF(ISNUMBER(G4108),E4108*G4108,"")</f>
        <v>3.9915199999999991E-2</v>
      </c>
      <c r="J4108" s="69"/>
      <c r="K4108" s="70"/>
      <c r="L4108" s="174">
        <v>0</v>
      </c>
    </row>
    <row r="4109" spans="1:12" ht="15.75" hidden="1" thickBot="1" x14ac:dyDescent="0.3">
      <c r="A4109" s="187"/>
      <c r="B4109" s="183"/>
      <c r="C4109" s="47"/>
      <c r="D4109" s="47"/>
      <c r="E4109" s="60"/>
      <c r="F4109" s="61"/>
      <c r="G4109" s="73" t="s">
        <v>1079</v>
      </c>
      <c r="H4109" s="61"/>
      <c r="I4109" s="73" t="str">
        <f>IF(ISNUMBER(G4109),E4109*G4109,"")</f>
        <v/>
      </c>
      <c r="J4109" s="75"/>
      <c r="K4109" s="70"/>
      <c r="L4109" s="174">
        <v>0</v>
      </c>
    </row>
    <row r="4110" spans="1:12" ht="15.75" hidden="1" thickBot="1" x14ac:dyDescent="0.3">
      <c r="A4110" s="180" t="s">
        <v>2448</v>
      </c>
      <c r="B4110" s="178" t="str">
        <f>INDEX(Orçamentária!A:B,MATCH(Composições!A4110,Orçamentária!A:A,0),2)</f>
        <v>Cumeeira TIPO SHED para telha de fibrocimento ondulada - espessura 6 mm</v>
      </c>
      <c r="C4110" s="30"/>
      <c r="D4110" s="13" t="str">
        <f>TRIM(INDEX(Orçamentária!C:C,MATCH(Composições!A4110,Orçamentária!A:A,0),1))</f>
        <v>m</v>
      </c>
      <c r="E4110" s="14"/>
      <c r="F4110" s="15" t="s">
        <v>2449</v>
      </c>
      <c r="G4110" s="40" t="s">
        <v>1079</v>
      </c>
      <c r="H4110" s="16"/>
      <c r="I4110" s="16" t="str">
        <f>IF(ISNUMBER(G4110),E4110*G4110,"")</f>
        <v/>
      </c>
      <c r="J4110" s="17"/>
      <c r="K4110" s="18"/>
      <c r="L4110" s="174">
        <v>0</v>
      </c>
    </row>
    <row r="4111" spans="1:12" hidden="1" x14ac:dyDescent="0.25">
      <c r="A4111" s="186"/>
      <c r="B4111" s="179"/>
      <c r="C4111" s="20"/>
      <c r="D4111" s="20"/>
      <c r="E4111" s="21"/>
      <c r="F4111" s="22"/>
      <c r="G4111" s="46" t="s">
        <v>1079</v>
      </c>
      <c r="H4111" s="20"/>
      <c r="I4111" s="46" t="str">
        <f>IF(ISNUMBER(G4111),E4111*G4111,"")</f>
        <v/>
      </c>
      <c r="J4111" s="69"/>
      <c r="K4111" s="70"/>
      <c r="L4111" s="174">
        <v>0</v>
      </c>
    </row>
    <row r="4112" spans="1:12" ht="38.25" hidden="1" x14ac:dyDescent="0.25">
      <c r="A4112" s="186"/>
      <c r="B4112" s="179"/>
      <c r="C4112" s="25" t="s">
        <v>2439</v>
      </c>
      <c r="D4112" s="36" t="s">
        <v>1438</v>
      </c>
      <c r="E4112" s="26">
        <v>4.2</v>
      </c>
      <c r="F4112" s="27" t="s">
        <v>2449</v>
      </c>
      <c r="G4112" s="46">
        <v>0.14249999999999999</v>
      </c>
      <c r="H4112" s="27" t="s">
        <v>2440</v>
      </c>
      <c r="I4112" s="46">
        <f>IF(ISNUMBER(G4112),E4112*G4112,"")</f>
        <v>0.59849999999999992</v>
      </c>
      <c r="J4112" s="28">
        <f>SUM(I4112:I4118)</f>
        <v>33.269779000000007</v>
      </c>
      <c r="K4112" s="29"/>
      <c r="L4112" s="174">
        <v>0</v>
      </c>
    </row>
    <row r="4113" spans="1:12" ht="25.5" hidden="1" x14ac:dyDescent="0.25">
      <c r="A4113" s="186"/>
      <c r="B4113" s="179"/>
      <c r="C4113" s="25" t="s">
        <v>2441</v>
      </c>
      <c r="D4113" s="25" t="s">
        <v>588</v>
      </c>
      <c r="E4113" s="26">
        <v>4.2</v>
      </c>
      <c r="F4113" s="27" t="s">
        <v>2449</v>
      </c>
      <c r="G4113" s="46">
        <v>2.1659999999999999</v>
      </c>
      <c r="H4113" s="27" t="s">
        <v>2442</v>
      </c>
      <c r="I4113" s="46">
        <f>IF(ISNUMBER(G4113),E4113*G4113,"")</f>
        <v>9.0972000000000008</v>
      </c>
      <c r="J4113" s="69"/>
      <c r="K4113" s="70"/>
      <c r="L4113" s="174">
        <v>0</v>
      </c>
    </row>
    <row r="4114" spans="1:12" ht="25.5" hidden="1" x14ac:dyDescent="0.25">
      <c r="A4114" s="186"/>
      <c r="B4114" s="179"/>
      <c r="C4114" s="25" t="s">
        <v>2450</v>
      </c>
      <c r="D4114" s="25" t="s">
        <v>588</v>
      </c>
      <c r="E4114" s="26">
        <v>1.0289999999999999</v>
      </c>
      <c r="F4114" s="27" t="s">
        <v>2449</v>
      </c>
      <c r="G4114" s="46">
        <v>21.270499999999998</v>
      </c>
      <c r="H4114" s="27" t="s">
        <v>2451</v>
      </c>
      <c r="I4114" s="46">
        <f>IF(ISNUMBER(G4114),E4114*G4114,"")</f>
        <v>21.887344499999998</v>
      </c>
      <c r="J4114" s="69"/>
      <c r="K4114" s="70"/>
      <c r="L4114" s="174">
        <v>0</v>
      </c>
    </row>
    <row r="4115" spans="1:12" hidden="1" x14ac:dyDescent="0.25">
      <c r="A4115" s="186"/>
      <c r="B4115" s="179"/>
      <c r="C4115" s="25" t="s">
        <v>1367</v>
      </c>
      <c r="D4115" s="25" t="s">
        <v>1366</v>
      </c>
      <c r="E4115" s="26">
        <v>5.5E-2</v>
      </c>
      <c r="F4115" s="27" t="s">
        <v>2449</v>
      </c>
      <c r="G4115" s="46">
        <v>14.325999999999999</v>
      </c>
      <c r="H4115" s="27" t="s">
        <v>39</v>
      </c>
      <c r="I4115" s="46">
        <f>IF(ISNUMBER(G4115),E4115*G4115,"")</f>
        <v>0.78792999999999991</v>
      </c>
      <c r="J4115" s="69"/>
      <c r="K4115" s="70"/>
      <c r="L4115" s="174">
        <v>0</v>
      </c>
    </row>
    <row r="4116" spans="1:12" hidden="1" x14ac:dyDescent="0.25">
      <c r="A4116" s="186"/>
      <c r="B4116" s="179"/>
      <c r="C4116" s="25" t="s">
        <v>2407</v>
      </c>
      <c r="D4116" s="25" t="s">
        <v>1366</v>
      </c>
      <c r="E4116" s="26">
        <v>4.1000000000000002E-2</v>
      </c>
      <c r="F4116" s="27" t="s">
        <v>2449</v>
      </c>
      <c r="G4116" s="46">
        <v>20.244499999999999</v>
      </c>
      <c r="H4116" s="27" t="s">
        <v>2408</v>
      </c>
      <c r="I4116" s="46">
        <f>IF(ISNUMBER(G4116),E4116*G4116,"")</f>
        <v>0.83002449999999994</v>
      </c>
      <c r="J4116" s="69"/>
      <c r="K4116" s="70"/>
      <c r="L4116" s="174">
        <v>0</v>
      </c>
    </row>
    <row r="4117" spans="1:12" ht="25.5" hidden="1" x14ac:dyDescent="0.25">
      <c r="A4117" s="186"/>
      <c r="B4117" s="179"/>
      <c r="C4117" s="25" t="s">
        <v>2409</v>
      </c>
      <c r="D4117" s="25" t="s">
        <v>1691</v>
      </c>
      <c r="E4117" s="26">
        <v>1.8E-3</v>
      </c>
      <c r="F4117" s="27" t="s">
        <v>2449</v>
      </c>
      <c r="G4117" s="46">
        <v>16.035999999999998</v>
      </c>
      <c r="H4117" s="27" t="s">
        <v>2410</v>
      </c>
      <c r="I4117" s="46">
        <f>IF(ISNUMBER(G4117),E4117*G4117,"")</f>
        <v>2.8864799999999996E-2</v>
      </c>
      <c r="J4117" s="69"/>
      <c r="K4117" s="70"/>
      <c r="L4117" s="174">
        <v>0</v>
      </c>
    </row>
    <row r="4118" spans="1:12" ht="25.5" hidden="1" x14ac:dyDescent="0.25">
      <c r="A4118" s="186"/>
      <c r="B4118" s="179"/>
      <c r="C4118" s="25" t="s">
        <v>2411</v>
      </c>
      <c r="D4118" s="25" t="s">
        <v>1694</v>
      </c>
      <c r="E4118" s="26">
        <v>2.5999999999999999E-3</v>
      </c>
      <c r="F4118" s="27" t="s">
        <v>2449</v>
      </c>
      <c r="G4118" s="46">
        <v>15.351999999999999</v>
      </c>
      <c r="H4118" s="27" t="s">
        <v>2412</v>
      </c>
      <c r="I4118" s="46">
        <f>IF(ISNUMBER(G4118),E4118*G4118,"")</f>
        <v>3.9915199999999991E-2</v>
      </c>
      <c r="J4118" s="69"/>
      <c r="K4118" s="70"/>
      <c r="L4118" s="174">
        <v>0</v>
      </c>
    </row>
    <row r="4119" spans="1:12" ht="15.75" hidden="1" thickBot="1" x14ac:dyDescent="0.3">
      <c r="A4119" s="187"/>
      <c r="B4119" s="183"/>
      <c r="C4119" s="47"/>
      <c r="D4119" s="47"/>
      <c r="E4119" s="60"/>
      <c r="F4119" s="61"/>
      <c r="G4119" s="73" t="s">
        <v>1079</v>
      </c>
      <c r="H4119" s="61"/>
      <c r="I4119" s="73" t="str">
        <f>IF(ISNUMBER(G4119),E4119*G4119,"")</f>
        <v/>
      </c>
      <c r="J4119" s="75"/>
      <c r="K4119" s="70"/>
      <c r="L4119" s="174">
        <v>0</v>
      </c>
    </row>
    <row r="4120" spans="1:12" ht="15.75" hidden="1" thickBot="1" x14ac:dyDescent="0.3">
      <c r="A4120" s="180" t="s">
        <v>2452</v>
      </c>
      <c r="B4120" s="178" t="str">
        <f>INDEX(Orçamentária!A:B,MATCH(Composições!A4120,Orçamentária!A:A,0),2)</f>
        <v>Telha de fibrocimento - Canalete 49 Eternit</v>
      </c>
      <c r="C4120" s="30"/>
      <c r="D4120" s="13" t="str">
        <f>TRIM(INDEX(Orçamentária!C:C,MATCH(Composições!A4120,Orçamentária!A:A,0),1))</f>
        <v>m2</v>
      </c>
      <c r="E4120" s="14"/>
      <c r="F4120" s="15" t="s">
        <v>2453</v>
      </c>
      <c r="G4120" s="40" t="s">
        <v>1079</v>
      </c>
      <c r="H4120" s="16"/>
      <c r="I4120" s="16" t="str">
        <f>IF(ISNUMBER(G4120),E4120*G4120,"")</f>
        <v/>
      </c>
      <c r="J4120" s="17"/>
      <c r="K4120" s="18"/>
      <c r="L4120" s="174">
        <v>0</v>
      </c>
    </row>
    <row r="4121" spans="1:12" hidden="1" x14ac:dyDescent="0.25">
      <c r="A4121" s="186"/>
      <c r="B4121" s="179"/>
      <c r="C4121" s="20"/>
      <c r="D4121" s="20"/>
      <c r="E4121" s="21"/>
      <c r="F4121" s="22"/>
      <c r="G4121" s="46" t="s">
        <v>1079</v>
      </c>
      <c r="H4121" s="20"/>
      <c r="I4121" s="46" t="str">
        <f>IF(ISNUMBER(G4121),E4121*G4121,"")</f>
        <v/>
      </c>
      <c r="J4121" s="69"/>
      <c r="K4121" s="70"/>
      <c r="L4121" s="174">
        <v>0</v>
      </c>
    </row>
    <row r="4122" spans="1:12" hidden="1" x14ac:dyDescent="0.25">
      <c r="A4122" s="186"/>
      <c r="B4122" s="179"/>
      <c r="C4122" s="25" t="s">
        <v>2407</v>
      </c>
      <c r="D4122" s="25" t="s">
        <v>21</v>
      </c>
      <c r="E4122" s="26">
        <v>0.15</v>
      </c>
      <c r="F4122" s="27" t="s">
        <v>2454</v>
      </c>
      <c r="G4122" s="46">
        <v>20.244499999999999</v>
      </c>
      <c r="H4122" s="27" t="s">
        <v>2408</v>
      </c>
      <c r="I4122" s="46">
        <f>IF(ISNUMBER(G4122),E4122*G4122,"")</f>
        <v>3.0366749999999998</v>
      </c>
      <c r="J4122" s="28">
        <f>SUM(I4122:I4126)</f>
        <v>5.185575</v>
      </c>
      <c r="K4122" s="29"/>
      <c r="L4122" s="174">
        <v>0</v>
      </c>
    </row>
    <row r="4123" spans="1:12" hidden="1" x14ac:dyDescent="0.25">
      <c r="A4123" s="186"/>
      <c r="B4123" s="179"/>
      <c r="C4123" s="25" t="s">
        <v>1367</v>
      </c>
      <c r="D4123" s="25" t="s">
        <v>21</v>
      </c>
      <c r="E4123" s="26">
        <v>0.15</v>
      </c>
      <c r="F4123" s="27" t="s">
        <v>2454</v>
      </c>
      <c r="G4123" s="46">
        <v>14.325999999999999</v>
      </c>
      <c r="H4123" s="27" t="s">
        <v>39</v>
      </c>
      <c r="I4123" s="46">
        <f>IF(ISNUMBER(G4123),E4123*G4123,"")</f>
        <v>2.1488999999999998</v>
      </c>
      <c r="J4123" s="69"/>
      <c r="K4123" s="70"/>
      <c r="L4123" s="174">
        <v>0</v>
      </c>
    </row>
    <row r="4124" spans="1:12" hidden="1" x14ac:dyDescent="0.25">
      <c r="A4124" s="186"/>
      <c r="B4124" s="179"/>
      <c r="C4124" s="25" t="s">
        <v>2424</v>
      </c>
      <c r="D4124" s="25" t="s">
        <v>588</v>
      </c>
      <c r="E4124" s="26">
        <v>4.12</v>
      </c>
      <c r="F4124" s="27" t="s">
        <v>2454</v>
      </c>
      <c r="G4124" s="46">
        <v>0</v>
      </c>
      <c r="H4124" s="27" t="s">
        <v>2455</v>
      </c>
      <c r="I4124" s="46">
        <f>IF(ISNUMBER(G4124),E4124*G4124,"")</f>
        <v>0</v>
      </c>
      <c r="J4124" s="69"/>
      <c r="K4124" s="70"/>
      <c r="L4124" s="174">
        <v>0</v>
      </c>
    </row>
    <row r="4125" spans="1:12" hidden="1" x14ac:dyDescent="0.25">
      <c r="A4125" s="186"/>
      <c r="B4125" s="179"/>
      <c r="C4125" s="25" t="s">
        <v>2456</v>
      </c>
      <c r="D4125" s="25" t="s">
        <v>588</v>
      </c>
      <c r="E4125" s="26">
        <v>2.0116999999999998</v>
      </c>
      <c r="F4125" s="27" t="s">
        <v>2454</v>
      </c>
      <c r="G4125" s="46">
        <v>0</v>
      </c>
      <c r="H4125" s="27" t="s">
        <v>2455</v>
      </c>
      <c r="I4125" s="46">
        <f>IF(ISNUMBER(G4125),E4125*G4125,"")</f>
        <v>0</v>
      </c>
      <c r="J4125" s="69"/>
      <c r="K4125" s="70"/>
      <c r="L4125" s="174">
        <v>0</v>
      </c>
    </row>
    <row r="4126" spans="1:12" hidden="1" x14ac:dyDescent="0.25">
      <c r="A4126" s="186"/>
      <c r="B4126" s="179"/>
      <c r="C4126" s="25" t="s">
        <v>2457</v>
      </c>
      <c r="D4126" s="25" t="s">
        <v>588</v>
      </c>
      <c r="E4126" s="26">
        <v>4.12</v>
      </c>
      <c r="F4126" s="27" t="s">
        <v>2454</v>
      </c>
      <c r="G4126" s="46">
        <v>0</v>
      </c>
      <c r="H4126" s="27" t="s">
        <v>2455</v>
      </c>
      <c r="I4126" s="46">
        <f>IF(ISNUMBER(G4126),E4126*G4126,"")</f>
        <v>0</v>
      </c>
      <c r="J4126" s="69"/>
      <c r="K4126" s="70"/>
      <c r="L4126" s="174">
        <v>0</v>
      </c>
    </row>
    <row r="4127" spans="1:12" ht="15.75" hidden="1" thickBot="1" x14ac:dyDescent="0.3">
      <c r="A4127" s="187"/>
      <c r="B4127" s="183"/>
      <c r="C4127" s="47"/>
      <c r="D4127" s="47"/>
      <c r="E4127" s="60"/>
      <c r="F4127" s="61"/>
      <c r="G4127" s="73" t="s">
        <v>1079</v>
      </c>
      <c r="H4127" s="61"/>
      <c r="I4127" s="73" t="str">
        <f>IF(ISNUMBER(G4127),E4127*G4127,"")</f>
        <v/>
      </c>
      <c r="J4127" s="75"/>
      <c r="K4127" s="70"/>
      <c r="L4127" s="174">
        <v>0</v>
      </c>
    </row>
    <row r="4128" spans="1:12" ht="15.75" hidden="1" thickBot="1" x14ac:dyDescent="0.3">
      <c r="A4128" s="180" t="s">
        <v>2458</v>
      </c>
      <c r="B4128" s="178" t="str">
        <f>INDEX(Orçamentária!A:B,MATCH(Composições!A4128,Orçamentária!A:A,0),2)</f>
        <v>Escada tipo marinheiro COM proteção</v>
      </c>
      <c r="C4128" s="30"/>
      <c r="D4128" s="13" t="str">
        <f>TRIM(INDEX(Orçamentária!C:C,MATCH(Composições!A4128,Orçamentária!A:A,0),1))</f>
        <v>m</v>
      </c>
      <c r="E4128" s="14"/>
      <c r="F4128" s="15" t="s">
        <v>2459</v>
      </c>
      <c r="G4128" s="40" t="s">
        <v>1079</v>
      </c>
      <c r="H4128" s="16"/>
      <c r="I4128" s="16" t="str">
        <f>IF(ISNUMBER(G4128),E4128*G4128,"")</f>
        <v/>
      </c>
      <c r="J4128" s="17"/>
      <c r="K4128" s="18"/>
      <c r="L4128" s="174">
        <v>0</v>
      </c>
    </row>
    <row r="4129" spans="1:12" hidden="1" x14ac:dyDescent="0.25">
      <c r="A4129" s="186"/>
      <c r="B4129" s="179"/>
      <c r="C4129" s="20"/>
      <c r="D4129" s="20"/>
      <c r="E4129" s="21"/>
      <c r="F4129" s="22"/>
      <c r="G4129" s="46" t="s">
        <v>1079</v>
      </c>
      <c r="H4129" s="20"/>
      <c r="I4129" s="46" t="str">
        <f>IF(ISNUMBER(G4129),E4129*G4129,"")</f>
        <v/>
      </c>
      <c r="J4129" s="69"/>
      <c r="K4129" s="70"/>
      <c r="L4129" s="174">
        <v>0</v>
      </c>
    </row>
    <row r="4130" spans="1:12" hidden="1" x14ac:dyDescent="0.25">
      <c r="A4130" s="186"/>
      <c r="B4130" s="179"/>
      <c r="C4130" s="25" t="s">
        <v>1482</v>
      </c>
      <c r="D4130" s="36" t="s">
        <v>1629</v>
      </c>
      <c r="E4130" s="26">
        <v>2.8</v>
      </c>
      <c r="F4130" s="27" t="s">
        <v>2460</v>
      </c>
      <c r="G4130" s="46">
        <v>5.1964999999999995</v>
      </c>
      <c r="H4130" s="27" t="s">
        <v>308</v>
      </c>
      <c r="I4130" s="46">
        <f>IF(ISNUMBER(G4130),E4130*G4130,"")</f>
        <v>14.550199999999997</v>
      </c>
      <c r="J4130" s="28">
        <f>SUM(I4130:I4142)</f>
        <v>205.98207150532505</v>
      </c>
      <c r="K4130" s="29"/>
      <c r="L4130" s="174">
        <v>0</v>
      </c>
    </row>
    <row r="4131" spans="1:12" hidden="1" x14ac:dyDescent="0.25">
      <c r="A4131" s="186"/>
      <c r="B4131" s="179"/>
      <c r="C4131" s="25" t="s">
        <v>2461</v>
      </c>
      <c r="D4131" s="25" t="s">
        <v>208</v>
      </c>
      <c r="E4131" s="26">
        <v>2.5000000000000001E-2</v>
      </c>
      <c r="F4131" s="27" t="s">
        <v>2460</v>
      </c>
      <c r="G4131" s="46">
        <v>24.671499999999998</v>
      </c>
      <c r="H4131" s="27" t="s">
        <v>2462</v>
      </c>
      <c r="I4131" s="46">
        <f>IF(ISNUMBER(G4131),E4131*G4131,"")</f>
        <v>0.61678750000000004</v>
      </c>
      <c r="J4131" s="69"/>
      <c r="K4131" s="70"/>
      <c r="L4131" s="174">
        <v>0</v>
      </c>
    </row>
    <row r="4132" spans="1:12" hidden="1" x14ac:dyDescent="0.25">
      <c r="A4132" s="186"/>
      <c r="B4132" s="179"/>
      <c r="C4132" s="25" t="s">
        <v>1634</v>
      </c>
      <c r="D4132" s="25" t="s">
        <v>1366</v>
      </c>
      <c r="E4132" s="26">
        <v>0.35</v>
      </c>
      <c r="F4132" s="27" t="s">
        <v>2460</v>
      </c>
      <c r="G4132" s="46">
        <v>19.056999999999999</v>
      </c>
      <c r="H4132" s="27" t="s">
        <v>1635</v>
      </c>
      <c r="I4132" s="46">
        <f>IF(ISNUMBER(G4132),E4132*G4132,"")</f>
        <v>6.6699499999999992</v>
      </c>
      <c r="J4132" s="69"/>
      <c r="K4132" s="70"/>
      <c r="L4132" s="174">
        <v>0</v>
      </c>
    </row>
    <row r="4133" spans="1:12" hidden="1" x14ac:dyDescent="0.25">
      <c r="A4133" s="186"/>
      <c r="B4133" s="179"/>
      <c r="C4133" s="25" t="s">
        <v>1389</v>
      </c>
      <c r="D4133" s="25" t="s">
        <v>1366</v>
      </c>
      <c r="E4133" s="26">
        <v>1.1000000000000001</v>
      </c>
      <c r="F4133" s="27" t="s">
        <v>2460</v>
      </c>
      <c r="G4133" s="46">
        <v>19.142499999999998</v>
      </c>
      <c r="H4133" s="27" t="s">
        <v>37</v>
      </c>
      <c r="I4133" s="46">
        <f>IF(ISNUMBER(G4133),E4133*G4133,"")</f>
        <v>21.056750000000001</v>
      </c>
      <c r="J4133" s="69"/>
      <c r="K4133" s="70"/>
      <c r="L4133" s="174">
        <v>0</v>
      </c>
    </row>
    <row r="4134" spans="1:12" hidden="1" x14ac:dyDescent="0.25">
      <c r="A4134" s="186"/>
      <c r="B4134" s="179"/>
      <c r="C4134" s="25" t="s">
        <v>1367</v>
      </c>
      <c r="D4134" s="25" t="s">
        <v>1366</v>
      </c>
      <c r="E4134" s="26">
        <v>1.1299999999999999</v>
      </c>
      <c r="F4134" s="27" t="s">
        <v>2460</v>
      </c>
      <c r="G4134" s="46">
        <v>14.325999999999999</v>
      </c>
      <c r="H4134" s="27" t="s">
        <v>39</v>
      </c>
      <c r="I4134" s="46">
        <f>IF(ISNUMBER(G4134),E4134*G4134,"")</f>
        <v>16.188379999999999</v>
      </c>
      <c r="J4134" s="69"/>
      <c r="K4134" s="70"/>
      <c r="L4134" s="174">
        <v>0</v>
      </c>
    </row>
    <row r="4135" spans="1:12" ht="25.5" hidden="1" x14ac:dyDescent="0.25">
      <c r="A4135" s="186"/>
      <c r="B4135" s="179"/>
      <c r="C4135" s="25" t="s">
        <v>227</v>
      </c>
      <c r="D4135" s="25" t="s">
        <v>252</v>
      </c>
      <c r="E4135" s="26">
        <v>3.5000000000000001E-3</v>
      </c>
      <c r="F4135" s="27" t="s">
        <v>2460</v>
      </c>
      <c r="G4135" s="46">
        <v>429.61257294999996</v>
      </c>
      <c r="H4135" s="27" t="s">
        <v>229</v>
      </c>
      <c r="I4135" s="46">
        <f>IF(ISNUMBER(G4135),E4135*G4135,"")</f>
        <v>1.503644005325</v>
      </c>
      <c r="J4135" s="69"/>
      <c r="K4135" s="70"/>
      <c r="L4135" s="174">
        <v>0</v>
      </c>
    </row>
    <row r="4136" spans="1:12" hidden="1" x14ac:dyDescent="0.25">
      <c r="A4136" s="186"/>
      <c r="B4136" s="179"/>
      <c r="C4136" s="25" t="s">
        <v>1482</v>
      </c>
      <c r="D4136" s="36" t="s">
        <v>1629</v>
      </c>
      <c r="E4136" s="26">
        <v>3</v>
      </c>
      <c r="F4136" s="27" t="s">
        <v>2463</v>
      </c>
      <c r="G4136" s="46">
        <v>5.1964999999999995</v>
      </c>
      <c r="H4136" s="27" t="s">
        <v>308</v>
      </c>
      <c r="I4136" s="46">
        <f>IF(ISNUMBER(G4136),E4136*G4136,"")</f>
        <v>15.589499999999997</v>
      </c>
      <c r="J4136" s="69"/>
      <c r="K4136" s="70"/>
      <c r="L4136" s="174">
        <v>0</v>
      </c>
    </row>
    <row r="4137" spans="1:12" ht="25.5" hidden="1" x14ac:dyDescent="0.25">
      <c r="A4137" s="186"/>
      <c r="B4137" s="179"/>
      <c r="C4137" s="25" t="s">
        <v>274</v>
      </c>
      <c r="D4137" s="36" t="s">
        <v>1629</v>
      </c>
      <c r="E4137" s="26">
        <v>15</v>
      </c>
      <c r="F4137" s="27" t="s">
        <v>2463</v>
      </c>
      <c r="G4137" s="46">
        <v>4.4554999999999998</v>
      </c>
      <c r="H4137" s="27" t="s">
        <v>275</v>
      </c>
      <c r="I4137" s="46">
        <f>IF(ISNUMBER(G4137),E4137*G4137,"")</f>
        <v>66.832499999999996</v>
      </c>
      <c r="J4137" s="69"/>
      <c r="K4137" s="70"/>
      <c r="L4137" s="174">
        <v>0</v>
      </c>
    </row>
    <row r="4138" spans="1:12" hidden="1" x14ac:dyDescent="0.25">
      <c r="A4138" s="186"/>
      <c r="B4138" s="179"/>
      <c r="C4138" s="25" t="s">
        <v>1389</v>
      </c>
      <c r="D4138" s="25" t="s">
        <v>1366</v>
      </c>
      <c r="E4138" s="26">
        <v>0.4</v>
      </c>
      <c r="F4138" s="27" t="s">
        <v>2463</v>
      </c>
      <c r="G4138" s="46">
        <v>19.142499999999998</v>
      </c>
      <c r="H4138" s="27" t="s">
        <v>37</v>
      </c>
      <c r="I4138" s="46">
        <f>IF(ISNUMBER(G4138),E4138*G4138,"")</f>
        <v>7.657</v>
      </c>
      <c r="J4138" s="69"/>
      <c r="K4138" s="70"/>
      <c r="L4138" s="174">
        <v>0</v>
      </c>
    </row>
    <row r="4139" spans="1:12" hidden="1" x14ac:dyDescent="0.25">
      <c r="A4139" s="186"/>
      <c r="B4139" s="179"/>
      <c r="C4139" s="25" t="s">
        <v>1367</v>
      </c>
      <c r="D4139" s="25" t="s">
        <v>1366</v>
      </c>
      <c r="E4139" s="26">
        <v>0.8</v>
      </c>
      <c r="F4139" s="27" t="s">
        <v>2463</v>
      </c>
      <c r="G4139" s="46">
        <v>14.325999999999999</v>
      </c>
      <c r="H4139" s="27" t="s">
        <v>39</v>
      </c>
      <c r="I4139" s="46">
        <f>IF(ISNUMBER(G4139),E4139*G4139,"")</f>
        <v>11.460799999999999</v>
      </c>
      <c r="J4139" s="69"/>
      <c r="K4139" s="70"/>
      <c r="L4139" s="174">
        <v>0</v>
      </c>
    </row>
    <row r="4140" spans="1:12" hidden="1" x14ac:dyDescent="0.25">
      <c r="A4140" s="186"/>
      <c r="B4140" s="179"/>
      <c r="C4140" s="25" t="s">
        <v>1939</v>
      </c>
      <c r="D4140" s="25" t="s">
        <v>1366</v>
      </c>
      <c r="E4140" s="26">
        <v>2</v>
      </c>
      <c r="F4140" s="27" t="s">
        <v>2463</v>
      </c>
      <c r="G4140" s="46">
        <v>19.759999999999998</v>
      </c>
      <c r="H4140" s="27" t="s">
        <v>1940</v>
      </c>
      <c r="I4140" s="46">
        <f>IF(ISNUMBER(G4140),E4140*G4140,"")</f>
        <v>39.519999999999996</v>
      </c>
      <c r="J4140" s="69"/>
      <c r="K4140" s="70"/>
      <c r="L4140" s="174">
        <v>0</v>
      </c>
    </row>
    <row r="4141" spans="1:12" hidden="1" x14ac:dyDescent="0.25">
      <c r="A4141" s="186"/>
      <c r="B4141" s="179"/>
      <c r="C4141" s="25" t="s">
        <v>277</v>
      </c>
      <c r="D4141" s="36" t="s">
        <v>1629</v>
      </c>
      <c r="E4141" s="26">
        <v>0.2</v>
      </c>
      <c r="F4141" s="27" t="s">
        <v>2463</v>
      </c>
      <c r="G4141" s="46">
        <v>16.7485</v>
      </c>
      <c r="H4141" s="27" t="s">
        <v>278</v>
      </c>
      <c r="I4141" s="46">
        <f>IF(ISNUMBER(G4141),E4141*G4141,"")</f>
        <v>3.3497000000000003</v>
      </c>
      <c r="J4141" s="69"/>
      <c r="K4141" s="70"/>
      <c r="L4141" s="174">
        <v>0</v>
      </c>
    </row>
    <row r="4142" spans="1:12" hidden="1" x14ac:dyDescent="0.25">
      <c r="A4142" s="186"/>
      <c r="B4142" s="179"/>
      <c r="C4142" s="25" t="s">
        <v>2461</v>
      </c>
      <c r="D4142" s="25" t="s">
        <v>208</v>
      </c>
      <c r="E4142" s="26">
        <v>0.04</v>
      </c>
      <c r="F4142" s="27" t="s">
        <v>17</v>
      </c>
      <c r="G4142" s="46">
        <v>24.671499999999998</v>
      </c>
      <c r="H4142" s="27" t="s">
        <v>2462</v>
      </c>
      <c r="I4142" s="46">
        <f>IF(ISNUMBER(G4142),E4142*G4142,"")</f>
        <v>0.98685999999999996</v>
      </c>
      <c r="J4142" s="69"/>
      <c r="K4142" s="70"/>
      <c r="L4142" s="174">
        <v>0</v>
      </c>
    </row>
    <row r="4143" spans="1:12" ht="15.75" hidden="1" thickBot="1" x14ac:dyDescent="0.3">
      <c r="A4143" s="187"/>
      <c r="B4143" s="183"/>
      <c r="C4143" s="47"/>
      <c r="D4143" s="47"/>
      <c r="E4143" s="60"/>
      <c r="F4143" s="61"/>
      <c r="G4143" s="73" t="s">
        <v>1079</v>
      </c>
      <c r="H4143" s="61"/>
      <c r="I4143" s="73" t="str">
        <f>IF(ISNUMBER(G4143),E4143*G4143,"")</f>
        <v/>
      </c>
      <c r="J4143" s="75"/>
      <c r="K4143" s="70"/>
      <c r="L4143" s="174">
        <v>0</v>
      </c>
    </row>
    <row r="4144" spans="1:12" ht="15.75" hidden="1" thickBot="1" x14ac:dyDescent="0.3">
      <c r="A4144" s="180" t="s">
        <v>2464</v>
      </c>
      <c r="B4144" s="178" t="str">
        <f>INDEX(Orçamentária!A:B,MATCH(Composições!A4144,Orçamentária!A:A,0),2)</f>
        <v>Escada tipo marinheiro SEM proteção</v>
      </c>
      <c r="C4144" s="30"/>
      <c r="D4144" s="13" t="str">
        <f>TRIM(INDEX(Orçamentária!C:C,MATCH(Composições!A4144,Orçamentária!A:A,0),1))</f>
        <v>m</v>
      </c>
      <c r="E4144" s="14"/>
      <c r="F4144" s="15" t="s">
        <v>2460</v>
      </c>
      <c r="G4144" s="40" t="s">
        <v>1079</v>
      </c>
      <c r="H4144" s="16"/>
      <c r="I4144" s="16" t="str">
        <f>IF(ISNUMBER(G4144),E4144*G4144,"")</f>
        <v/>
      </c>
      <c r="J4144" s="17"/>
      <c r="K4144" s="18"/>
      <c r="L4144" s="174">
        <v>0</v>
      </c>
    </row>
    <row r="4145" spans="1:12" hidden="1" x14ac:dyDescent="0.25">
      <c r="A4145" s="186"/>
      <c r="B4145" s="179"/>
      <c r="C4145" s="20"/>
      <c r="D4145" s="20"/>
      <c r="E4145" s="21"/>
      <c r="F4145" s="22"/>
      <c r="G4145" s="46" t="s">
        <v>1079</v>
      </c>
      <c r="H4145" s="20"/>
      <c r="I4145" s="46" t="str">
        <f>IF(ISNUMBER(G4145),E4145*G4145,"")</f>
        <v/>
      </c>
      <c r="J4145" s="69"/>
      <c r="K4145" s="70"/>
      <c r="L4145" s="174">
        <v>0</v>
      </c>
    </row>
    <row r="4146" spans="1:12" hidden="1" x14ac:dyDescent="0.25">
      <c r="A4146" s="186"/>
      <c r="B4146" s="179"/>
      <c r="C4146" s="25" t="s">
        <v>1482</v>
      </c>
      <c r="D4146" s="36" t="s">
        <v>1629</v>
      </c>
      <c r="E4146" s="26">
        <v>2.8</v>
      </c>
      <c r="F4146" s="27" t="s">
        <v>2460</v>
      </c>
      <c r="G4146" s="46">
        <v>5.1964999999999995</v>
      </c>
      <c r="H4146" s="27" t="s">
        <v>308</v>
      </c>
      <c r="I4146" s="46">
        <f>IF(ISNUMBER(G4146),E4146*G4146,"")</f>
        <v>14.550199999999997</v>
      </c>
      <c r="J4146" s="28">
        <f>SUM(I4146:I4151)</f>
        <v>60.585711505324994</v>
      </c>
      <c r="K4146" s="29"/>
      <c r="L4146" s="174">
        <v>0</v>
      </c>
    </row>
    <row r="4147" spans="1:12" hidden="1" x14ac:dyDescent="0.25">
      <c r="A4147" s="186"/>
      <c r="B4147" s="179"/>
      <c r="C4147" s="25" t="s">
        <v>2461</v>
      </c>
      <c r="D4147" s="25" t="s">
        <v>208</v>
      </c>
      <c r="E4147" s="26">
        <v>2.5000000000000001E-2</v>
      </c>
      <c r="F4147" s="27" t="s">
        <v>2460</v>
      </c>
      <c r="G4147" s="46">
        <v>24.671499999999998</v>
      </c>
      <c r="H4147" s="27" t="s">
        <v>2462</v>
      </c>
      <c r="I4147" s="46">
        <f>IF(ISNUMBER(G4147),E4147*G4147,"")</f>
        <v>0.61678750000000004</v>
      </c>
      <c r="J4147" s="69"/>
      <c r="K4147" s="70"/>
      <c r="L4147" s="174">
        <v>0</v>
      </c>
    </row>
    <row r="4148" spans="1:12" hidden="1" x14ac:dyDescent="0.25">
      <c r="A4148" s="186"/>
      <c r="B4148" s="179"/>
      <c r="C4148" s="25" t="s">
        <v>1634</v>
      </c>
      <c r="D4148" s="25" t="s">
        <v>1366</v>
      </c>
      <c r="E4148" s="26">
        <v>0.35</v>
      </c>
      <c r="F4148" s="27" t="s">
        <v>2460</v>
      </c>
      <c r="G4148" s="46">
        <v>19.056999999999999</v>
      </c>
      <c r="H4148" s="27" t="s">
        <v>1635</v>
      </c>
      <c r="I4148" s="46">
        <f>IF(ISNUMBER(G4148),E4148*G4148,"")</f>
        <v>6.6699499999999992</v>
      </c>
      <c r="J4148" s="69"/>
      <c r="K4148" s="70"/>
      <c r="L4148" s="174">
        <v>0</v>
      </c>
    </row>
    <row r="4149" spans="1:12" hidden="1" x14ac:dyDescent="0.25">
      <c r="A4149" s="186"/>
      <c r="B4149" s="179"/>
      <c r="C4149" s="25" t="s">
        <v>1389</v>
      </c>
      <c r="D4149" s="25" t="s">
        <v>1366</v>
      </c>
      <c r="E4149" s="26">
        <v>1.1000000000000001</v>
      </c>
      <c r="F4149" s="27" t="s">
        <v>2460</v>
      </c>
      <c r="G4149" s="46">
        <v>19.142499999999998</v>
      </c>
      <c r="H4149" s="27" t="s">
        <v>37</v>
      </c>
      <c r="I4149" s="46">
        <f>IF(ISNUMBER(G4149),E4149*G4149,"")</f>
        <v>21.056750000000001</v>
      </c>
      <c r="J4149" s="69"/>
      <c r="K4149" s="70"/>
      <c r="L4149" s="174">
        <v>0</v>
      </c>
    </row>
    <row r="4150" spans="1:12" hidden="1" x14ac:dyDescent="0.25">
      <c r="A4150" s="186"/>
      <c r="B4150" s="179"/>
      <c r="C4150" s="25" t="s">
        <v>1367</v>
      </c>
      <c r="D4150" s="25" t="s">
        <v>1366</v>
      </c>
      <c r="E4150" s="26">
        <v>1.1299999999999999</v>
      </c>
      <c r="F4150" s="27" t="s">
        <v>2460</v>
      </c>
      <c r="G4150" s="46">
        <v>14.325999999999999</v>
      </c>
      <c r="H4150" s="27" t="s">
        <v>39</v>
      </c>
      <c r="I4150" s="46">
        <f>IF(ISNUMBER(G4150),E4150*G4150,"")</f>
        <v>16.188379999999999</v>
      </c>
      <c r="J4150" s="69"/>
      <c r="K4150" s="70"/>
      <c r="L4150" s="174">
        <v>0</v>
      </c>
    </row>
    <row r="4151" spans="1:12" ht="25.5" hidden="1" x14ac:dyDescent="0.25">
      <c r="A4151" s="186"/>
      <c r="B4151" s="179"/>
      <c r="C4151" s="25" t="s">
        <v>227</v>
      </c>
      <c r="D4151" s="25" t="s">
        <v>252</v>
      </c>
      <c r="E4151" s="26">
        <v>3.5000000000000001E-3</v>
      </c>
      <c r="F4151" s="27" t="s">
        <v>2460</v>
      </c>
      <c r="G4151" s="46">
        <v>429.61257294999996</v>
      </c>
      <c r="H4151" s="27" t="s">
        <v>229</v>
      </c>
      <c r="I4151" s="46">
        <f>IF(ISNUMBER(G4151),E4151*G4151,"")</f>
        <v>1.503644005325</v>
      </c>
      <c r="J4151" s="69"/>
      <c r="K4151" s="70"/>
      <c r="L4151" s="174">
        <v>0</v>
      </c>
    </row>
    <row r="4152" spans="1:12" ht="15.75" hidden="1" thickBot="1" x14ac:dyDescent="0.3">
      <c r="A4152" s="187"/>
      <c r="B4152" s="183"/>
      <c r="C4152" s="47"/>
      <c r="D4152" s="47"/>
      <c r="E4152" s="60"/>
      <c r="F4152" s="61"/>
      <c r="G4152" s="73" t="s">
        <v>1079</v>
      </c>
      <c r="H4152" s="61"/>
      <c r="I4152" s="73" t="str">
        <f>IF(ISNUMBER(G4152),E4152*G4152,"")</f>
        <v/>
      </c>
      <c r="J4152" s="75"/>
      <c r="K4152" s="70"/>
      <c r="L4152" s="174">
        <v>0</v>
      </c>
    </row>
    <row r="4153" spans="1:12" ht="15.75" hidden="1" thickBot="1" x14ac:dyDescent="0.3">
      <c r="A4153" s="180" t="s">
        <v>2465</v>
      </c>
      <c r="B4153" s="178" t="str">
        <f>INDEX(Orçamentária!A:B,MATCH(Composições!A4153,Orçamentária!A:A,0),2)</f>
        <v>Limpeza e Preparação do Substrato para Impermeabilização</v>
      </c>
      <c r="C4153" s="30"/>
      <c r="D4153" s="13" t="str">
        <f>TRIM(INDEX(Orçamentária!C:C,MATCH(Composições!A4153,Orçamentária!A:A,0),1))</f>
        <v>m2</v>
      </c>
      <c r="E4153" s="14"/>
      <c r="F4153" s="15" t="s">
        <v>2466</v>
      </c>
      <c r="G4153" s="40" t="s">
        <v>1079</v>
      </c>
      <c r="H4153" s="16"/>
      <c r="I4153" s="16" t="str">
        <f>IF(ISNUMBER(G4153),E4153*G4153,"")</f>
        <v/>
      </c>
      <c r="J4153" s="17"/>
      <c r="K4153" s="18"/>
      <c r="L4153" s="174">
        <v>0</v>
      </c>
    </row>
    <row r="4154" spans="1:12" hidden="1" x14ac:dyDescent="0.25">
      <c r="A4154" s="186"/>
      <c r="B4154" s="179"/>
      <c r="C4154" s="20"/>
      <c r="D4154" s="20"/>
      <c r="E4154" s="21"/>
      <c r="F4154" s="22"/>
      <c r="G4154" s="46" t="s">
        <v>1079</v>
      </c>
      <c r="H4154" s="20"/>
      <c r="I4154" s="46" t="str">
        <f>IF(ISNUMBER(G4154),E4154*G4154,"")</f>
        <v/>
      </c>
      <c r="J4154" s="69"/>
      <c r="K4154" s="70"/>
      <c r="L4154" s="174">
        <v>0</v>
      </c>
    </row>
    <row r="4155" spans="1:12" hidden="1" x14ac:dyDescent="0.25">
      <c r="A4155" s="186"/>
      <c r="B4155" s="179"/>
      <c r="C4155" s="25" t="s">
        <v>1367</v>
      </c>
      <c r="D4155" s="25" t="s">
        <v>21</v>
      </c>
      <c r="E4155" s="26">
        <v>0.11</v>
      </c>
      <c r="F4155" s="27" t="s">
        <v>2467</v>
      </c>
      <c r="G4155" s="46">
        <v>14.325999999999999</v>
      </c>
      <c r="H4155" s="27" t="s">
        <v>39</v>
      </c>
      <c r="I4155" s="46">
        <f>IF(ISNUMBER(G4155),E4155*G4155,"")</f>
        <v>1.5758599999999998</v>
      </c>
      <c r="J4155" s="28">
        <f>SUM(I4155:I4157)</f>
        <v>1.5758599999999998</v>
      </c>
      <c r="K4155" s="29"/>
      <c r="L4155" s="174">
        <v>0</v>
      </c>
    </row>
    <row r="4156" spans="1:12" hidden="1" x14ac:dyDescent="0.25">
      <c r="A4156" s="186"/>
      <c r="B4156" s="179"/>
      <c r="C4156" s="25" t="s">
        <v>2468</v>
      </c>
      <c r="D4156" s="25" t="s">
        <v>2469</v>
      </c>
      <c r="E4156" s="26">
        <v>0.22</v>
      </c>
      <c r="F4156" s="27" t="s">
        <v>2467</v>
      </c>
      <c r="G4156" s="46">
        <v>0</v>
      </c>
      <c r="H4156" s="27" t="s">
        <v>2470</v>
      </c>
      <c r="I4156" s="46">
        <f>IF(ISNUMBER(G4156),E4156*G4156,"")</f>
        <v>0</v>
      </c>
      <c r="J4156" s="69"/>
      <c r="K4156" s="70"/>
      <c r="L4156" s="174">
        <v>0</v>
      </c>
    </row>
    <row r="4157" spans="1:12" hidden="1" x14ac:dyDescent="0.25">
      <c r="A4157" s="186"/>
      <c r="B4157" s="179"/>
      <c r="C4157" s="25" t="s">
        <v>2471</v>
      </c>
      <c r="D4157" s="25" t="s">
        <v>208</v>
      </c>
      <c r="E4157" s="26">
        <v>0.4</v>
      </c>
      <c r="F4157" s="27" t="s">
        <v>2467</v>
      </c>
      <c r="G4157" s="46">
        <v>0</v>
      </c>
      <c r="H4157" s="27" t="s">
        <v>2470</v>
      </c>
      <c r="I4157" s="46">
        <f>IF(ISNUMBER(G4157),E4157*G4157,"")</f>
        <v>0</v>
      </c>
      <c r="J4157" s="69"/>
      <c r="K4157" s="70"/>
      <c r="L4157" s="174">
        <v>0</v>
      </c>
    </row>
    <row r="4158" spans="1:12" ht="15.75" hidden="1" thickBot="1" x14ac:dyDescent="0.3">
      <c r="A4158" s="187"/>
      <c r="B4158" s="183"/>
      <c r="C4158" s="47"/>
      <c r="D4158" s="47"/>
      <c r="E4158" s="60"/>
      <c r="F4158" s="61"/>
      <c r="G4158" s="73" t="s">
        <v>1079</v>
      </c>
      <c r="H4158" s="61"/>
      <c r="I4158" s="73" t="str">
        <f>IF(ISNUMBER(G4158),E4158*G4158,"")</f>
        <v/>
      </c>
      <c r="J4158" s="75"/>
      <c r="K4158" s="70"/>
      <c r="L4158" s="174">
        <v>0</v>
      </c>
    </row>
    <row r="4159" spans="1:12" ht="15.75" hidden="1" thickBot="1" x14ac:dyDescent="0.3">
      <c r="A4159" s="180" t="s">
        <v>2472</v>
      </c>
      <c r="B4159" s="178" t="str">
        <f>INDEX(Orçamentária!A:B,MATCH(Composições!A4159,Orçamentária!A:A,0),2)</f>
        <v>Substituição de Coletores de Águas Pluviais</v>
      </c>
      <c r="C4159" s="30"/>
      <c r="D4159" s="13" t="str">
        <f>TRIM(INDEX(Orçamentária!C:C,MATCH(Composições!A4159,Orçamentária!A:A,0),1))</f>
        <v>un</v>
      </c>
      <c r="E4159" s="14"/>
      <c r="F4159" s="15" t="s">
        <v>2473</v>
      </c>
      <c r="G4159" s="40" t="s">
        <v>1079</v>
      </c>
      <c r="H4159" s="16"/>
      <c r="I4159" s="16" t="str">
        <f>IF(ISNUMBER(G4159),E4159*G4159,"")</f>
        <v/>
      </c>
      <c r="J4159" s="17"/>
      <c r="K4159" s="18"/>
      <c r="L4159" s="174">
        <v>0</v>
      </c>
    </row>
    <row r="4160" spans="1:12" hidden="1" x14ac:dyDescent="0.25">
      <c r="A4160" s="186"/>
      <c r="B4160" s="179"/>
      <c r="C4160" s="20"/>
      <c r="D4160" s="20"/>
      <c r="E4160" s="21"/>
      <c r="F4160" s="22"/>
      <c r="G4160" s="46" t="s">
        <v>1079</v>
      </c>
      <c r="H4160" s="20"/>
      <c r="I4160" s="46" t="str">
        <f>IF(ISNUMBER(G4160),E4160*G4160,"")</f>
        <v/>
      </c>
      <c r="J4160" s="69"/>
      <c r="K4160" s="70"/>
      <c r="L4160" s="174">
        <v>0</v>
      </c>
    </row>
    <row r="4161" spans="1:12" ht="25.5" hidden="1" x14ac:dyDescent="0.25">
      <c r="A4161" s="186"/>
      <c r="B4161" s="179"/>
      <c r="C4161" s="25" t="s">
        <v>2474</v>
      </c>
      <c r="D4161" s="36" t="s">
        <v>588</v>
      </c>
      <c r="E4161" s="26">
        <v>1</v>
      </c>
      <c r="F4161" s="27" t="s">
        <v>2475</v>
      </c>
      <c r="G4161" s="46">
        <v>8.4169999999999998</v>
      </c>
      <c r="H4161" s="27" t="s">
        <v>2476</v>
      </c>
      <c r="I4161" s="46">
        <f>IF(ISNUMBER(G4161),E4161*G4161,"")</f>
        <v>8.4169999999999998</v>
      </c>
      <c r="J4161" s="28">
        <f>SUM(I4161:I4175)</f>
        <v>141.81324594999998</v>
      </c>
      <c r="K4161" s="29"/>
      <c r="L4161" s="174">
        <v>0</v>
      </c>
    </row>
    <row r="4162" spans="1:12" ht="25.5" hidden="1" x14ac:dyDescent="0.25">
      <c r="A4162" s="186"/>
      <c r="B4162" s="179"/>
      <c r="C4162" s="25" t="s">
        <v>2477</v>
      </c>
      <c r="D4162" s="25" t="s">
        <v>588</v>
      </c>
      <c r="E4162" s="26">
        <v>1</v>
      </c>
      <c r="F4162" s="27" t="s">
        <v>2475</v>
      </c>
      <c r="G4162" s="46">
        <v>31.093499999999995</v>
      </c>
      <c r="H4162" s="27" t="s">
        <v>2478</v>
      </c>
      <c r="I4162" s="46">
        <f>IF(ISNUMBER(G4162),E4162*G4162,"")</f>
        <v>31.093499999999995</v>
      </c>
      <c r="J4162" s="69"/>
      <c r="K4162" s="70"/>
      <c r="L4162" s="174">
        <v>0</v>
      </c>
    </row>
    <row r="4163" spans="1:12" ht="38.25" hidden="1" x14ac:dyDescent="0.25">
      <c r="A4163" s="186"/>
      <c r="B4163" s="179"/>
      <c r="C4163" s="25" t="s">
        <v>2479</v>
      </c>
      <c r="D4163" s="25" t="s">
        <v>588</v>
      </c>
      <c r="E4163" s="26">
        <v>7.0000000000000007E-2</v>
      </c>
      <c r="F4163" s="27" t="s">
        <v>2475</v>
      </c>
      <c r="G4163" s="46">
        <v>19.826499999999999</v>
      </c>
      <c r="H4163" s="27" t="s">
        <v>698</v>
      </c>
      <c r="I4163" s="46">
        <f>IF(ISNUMBER(G4163),E4163*G4163,"")</f>
        <v>1.3878550000000001</v>
      </c>
      <c r="J4163" s="69"/>
      <c r="K4163" s="70"/>
      <c r="L4163" s="174">
        <v>0</v>
      </c>
    </row>
    <row r="4164" spans="1:12" ht="25.5" hidden="1" x14ac:dyDescent="0.25">
      <c r="A4164" s="186"/>
      <c r="B4164" s="179"/>
      <c r="C4164" s="25" t="s">
        <v>1712</v>
      </c>
      <c r="D4164" s="25" t="s">
        <v>1366</v>
      </c>
      <c r="E4164" s="26">
        <v>0.11</v>
      </c>
      <c r="F4164" s="27" t="s">
        <v>2475</v>
      </c>
      <c r="G4164" s="46">
        <v>14.772500000000001</v>
      </c>
      <c r="H4164" s="27" t="s">
        <v>226</v>
      </c>
      <c r="I4164" s="46">
        <f>IF(ISNUMBER(G4164),E4164*G4164,"")</f>
        <v>1.6249750000000001</v>
      </c>
      <c r="J4164" s="69"/>
      <c r="K4164" s="70"/>
      <c r="L4164" s="174">
        <v>0</v>
      </c>
    </row>
    <row r="4165" spans="1:12" ht="25.5" hidden="1" x14ac:dyDescent="0.25">
      <c r="A4165" s="186"/>
      <c r="B4165" s="179"/>
      <c r="C4165" s="25" t="s">
        <v>1713</v>
      </c>
      <c r="D4165" s="25" t="s">
        <v>1366</v>
      </c>
      <c r="E4165" s="26">
        <v>0.11</v>
      </c>
      <c r="F4165" s="27" t="s">
        <v>2475</v>
      </c>
      <c r="G4165" s="46">
        <v>18.743500000000001</v>
      </c>
      <c r="H4165" s="27" t="s">
        <v>71</v>
      </c>
      <c r="I4165" s="46">
        <f>IF(ISNUMBER(G4165),E4165*G4165,"")</f>
        <v>2.061785</v>
      </c>
      <c r="J4165" s="69"/>
      <c r="K4165" s="70"/>
      <c r="L4165" s="174">
        <v>0</v>
      </c>
    </row>
    <row r="4166" spans="1:12" hidden="1" x14ac:dyDescent="0.25">
      <c r="A4166" s="186"/>
      <c r="B4166" s="179"/>
      <c r="C4166" s="25" t="s">
        <v>2480</v>
      </c>
      <c r="D4166" s="25" t="s">
        <v>588</v>
      </c>
      <c r="E4166" s="26">
        <v>6.1999999999999998E-3</v>
      </c>
      <c r="F4166" s="27" t="s">
        <v>2481</v>
      </c>
      <c r="G4166" s="46">
        <v>54.15</v>
      </c>
      <c r="H4166" s="27" t="s">
        <v>649</v>
      </c>
      <c r="I4166" s="46">
        <f>IF(ISNUMBER(G4166),E4166*G4166,"")</f>
        <v>0.33572999999999997</v>
      </c>
      <c r="J4166" s="69"/>
      <c r="K4166" s="70"/>
      <c r="L4166" s="174">
        <v>0</v>
      </c>
    </row>
    <row r="4167" spans="1:12" ht="25.5" hidden="1" x14ac:dyDescent="0.25">
      <c r="A4167" s="186"/>
      <c r="B4167" s="179"/>
      <c r="C4167" s="25" t="s">
        <v>2482</v>
      </c>
      <c r="D4167" s="25" t="s">
        <v>988</v>
      </c>
      <c r="E4167" s="26">
        <f>1.04/2</f>
        <v>0.52</v>
      </c>
      <c r="F4167" s="27" t="s">
        <v>2481</v>
      </c>
      <c r="G4167" s="46">
        <v>45.41</v>
      </c>
      <c r="H4167" s="27" t="s">
        <v>2483</v>
      </c>
      <c r="I4167" s="46">
        <f>IF(ISNUMBER(G4167),E4167*G4167,"")</f>
        <v>23.613199999999999</v>
      </c>
      <c r="J4167" s="69"/>
      <c r="K4167" s="70"/>
      <c r="L4167" s="174">
        <v>0</v>
      </c>
    </row>
    <row r="4168" spans="1:12" hidden="1" x14ac:dyDescent="0.25">
      <c r="A4168" s="186"/>
      <c r="B4168" s="179"/>
      <c r="C4168" s="25" t="s">
        <v>2484</v>
      </c>
      <c r="D4168" s="25" t="s">
        <v>588</v>
      </c>
      <c r="E4168" s="26">
        <v>1.0200000000000001E-2</v>
      </c>
      <c r="F4168" s="27" t="s">
        <v>2481</v>
      </c>
      <c r="G4168" s="46">
        <v>47.024999999999999</v>
      </c>
      <c r="H4168" s="27" t="s">
        <v>653</v>
      </c>
      <c r="I4168" s="46">
        <f>IF(ISNUMBER(G4168),E4168*G4168,"")</f>
        <v>0.479655</v>
      </c>
      <c r="J4168" s="69"/>
      <c r="K4168" s="70"/>
      <c r="L4168" s="174">
        <v>0</v>
      </c>
    </row>
    <row r="4169" spans="1:12" hidden="1" x14ac:dyDescent="0.25">
      <c r="A4169" s="186"/>
      <c r="B4169" s="179"/>
      <c r="C4169" s="25" t="s">
        <v>2163</v>
      </c>
      <c r="D4169" s="25" t="s">
        <v>588</v>
      </c>
      <c r="E4169" s="26">
        <v>3.6999999999999998E-2</v>
      </c>
      <c r="F4169" s="27" t="s">
        <v>2481</v>
      </c>
      <c r="G4169" s="46">
        <v>1.5579999999999998</v>
      </c>
      <c r="H4169" s="27" t="s">
        <v>655</v>
      </c>
      <c r="I4169" s="46">
        <f>IF(ISNUMBER(G4169),E4169*G4169,"")</f>
        <v>5.7645999999999989E-2</v>
      </c>
      <c r="J4169" s="69"/>
      <c r="K4169" s="70"/>
      <c r="L4169" s="174">
        <v>0</v>
      </c>
    </row>
    <row r="4170" spans="1:12" ht="25.5" hidden="1" x14ac:dyDescent="0.25">
      <c r="A4170" s="186"/>
      <c r="B4170" s="179"/>
      <c r="C4170" s="25" t="s">
        <v>1712</v>
      </c>
      <c r="D4170" s="25" t="s">
        <v>1366</v>
      </c>
      <c r="E4170" s="26">
        <v>0.18</v>
      </c>
      <c r="F4170" s="27" t="s">
        <v>2481</v>
      </c>
      <c r="G4170" s="46">
        <v>14.772500000000001</v>
      </c>
      <c r="H4170" s="27" t="s">
        <v>226</v>
      </c>
      <c r="I4170" s="46">
        <f>IF(ISNUMBER(G4170),E4170*G4170,"")</f>
        <v>2.6590500000000001</v>
      </c>
      <c r="J4170" s="69"/>
      <c r="K4170" s="70"/>
      <c r="L4170" s="174">
        <v>0</v>
      </c>
    </row>
    <row r="4171" spans="1:12" ht="25.5" hidden="1" x14ac:dyDescent="0.25">
      <c r="A4171" s="186"/>
      <c r="B4171" s="179"/>
      <c r="C4171" s="25" t="s">
        <v>1713</v>
      </c>
      <c r="D4171" s="25" t="s">
        <v>1366</v>
      </c>
      <c r="E4171" s="26">
        <v>0.18</v>
      </c>
      <c r="F4171" s="27" t="s">
        <v>2481</v>
      </c>
      <c r="G4171" s="46">
        <v>18.743500000000001</v>
      </c>
      <c r="H4171" s="27" t="s">
        <v>71</v>
      </c>
      <c r="I4171" s="46">
        <f>IF(ISNUMBER(G4171),E4171*G4171,"")</f>
        <v>3.3738299999999999</v>
      </c>
      <c r="J4171" s="69"/>
      <c r="K4171" s="70"/>
      <c r="L4171" s="174">
        <v>0</v>
      </c>
    </row>
    <row r="4172" spans="1:12" hidden="1" x14ac:dyDescent="0.25">
      <c r="A4172" s="186"/>
      <c r="B4172" s="179"/>
      <c r="C4172" s="25" t="s">
        <v>1389</v>
      </c>
      <c r="D4172" s="36" t="s">
        <v>1366</v>
      </c>
      <c r="E4172" s="26">
        <v>1</v>
      </c>
      <c r="F4172" s="27" t="s">
        <v>17</v>
      </c>
      <c r="G4172" s="46">
        <v>19.142499999999998</v>
      </c>
      <c r="H4172" s="27" t="s">
        <v>37</v>
      </c>
      <c r="I4172" s="46">
        <f>IF(ISNUMBER(G4172),E4172*G4172,"")</f>
        <v>19.142499999999998</v>
      </c>
      <c r="J4172" s="69"/>
      <c r="K4172" s="70"/>
      <c r="L4172" s="174">
        <v>0</v>
      </c>
    </row>
    <row r="4173" spans="1:12" ht="25.5" hidden="1" x14ac:dyDescent="0.25">
      <c r="A4173" s="186"/>
      <c r="B4173" s="179"/>
      <c r="C4173" s="25" t="s">
        <v>1488</v>
      </c>
      <c r="D4173" s="36" t="s">
        <v>1629</v>
      </c>
      <c r="E4173" s="26">
        <f>ROUND(1.8*PI()*(0.2-0.15)*0.1*10,4)</f>
        <v>0.28270000000000001</v>
      </c>
      <c r="F4173" s="27" t="s">
        <v>17</v>
      </c>
      <c r="G4173" s="46">
        <v>28.718499999999999</v>
      </c>
      <c r="H4173" s="27" t="s">
        <v>1489</v>
      </c>
      <c r="I4173" s="46">
        <f>IF(ISNUMBER(G4173),E4173*G4173,"")</f>
        <v>8.1187199499999991</v>
      </c>
      <c r="J4173" s="69"/>
      <c r="K4173" s="70"/>
      <c r="L4173" s="174">
        <v>0</v>
      </c>
    </row>
    <row r="4174" spans="1:12" ht="25.5" hidden="1" x14ac:dyDescent="0.25">
      <c r="A4174" s="186"/>
      <c r="B4174" s="179"/>
      <c r="C4174" s="25" t="s">
        <v>1901</v>
      </c>
      <c r="D4174" s="26" t="s">
        <v>1902</v>
      </c>
      <c r="E4174" s="26">
        <v>0.2</v>
      </c>
      <c r="F4174" s="27" t="s">
        <v>17</v>
      </c>
      <c r="G4174" s="46">
        <v>21.726500000000001</v>
      </c>
      <c r="H4174" s="27" t="s">
        <v>1904</v>
      </c>
      <c r="I4174" s="46">
        <f>IF(ISNUMBER(G4174),E4174*G4174,"")</f>
        <v>4.3453000000000008</v>
      </c>
      <c r="J4174" s="69"/>
      <c r="K4174" s="70"/>
      <c r="L4174" s="174">
        <v>0</v>
      </c>
    </row>
    <row r="4175" spans="1:12" hidden="1" x14ac:dyDescent="0.25">
      <c r="A4175" s="186"/>
      <c r="B4175" s="179"/>
      <c r="C4175" s="25" t="s">
        <v>2485</v>
      </c>
      <c r="D4175" s="25" t="s">
        <v>588</v>
      </c>
      <c r="E4175" s="26">
        <v>1</v>
      </c>
      <c r="F4175" s="27" t="s">
        <v>17</v>
      </c>
      <c r="G4175" s="46">
        <v>35.102499999999999</v>
      </c>
      <c r="H4175" s="27" t="s">
        <v>2486</v>
      </c>
      <c r="I4175" s="46">
        <f>IF(ISNUMBER(G4175),E4175*G4175,"")</f>
        <v>35.102499999999999</v>
      </c>
      <c r="J4175" s="69"/>
      <c r="K4175" s="70"/>
      <c r="L4175" s="174">
        <v>0</v>
      </c>
    </row>
    <row r="4176" spans="1:12" ht="15.75" hidden="1" thickBot="1" x14ac:dyDescent="0.3">
      <c r="A4176" s="187"/>
      <c r="B4176" s="183"/>
      <c r="C4176" s="47"/>
      <c r="D4176" s="47"/>
      <c r="E4176" s="60"/>
      <c r="F4176" s="61"/>
      <c r="G4176" s="73" t="s">
        <v>1079</v>
      </c>
      <c r="H4176" s="61"/>
      <c r="I4176" s="73" t="str">
        <f>IF(ISNUMBER(G4176),E4176*G4176,"")</f>
        <v/>
      </c>
      <c r="J4176" s="75"/>
      <c r="K4176" s="70"/>
      <c r="L4176" s="174">
        <v>0</v>
      </c>
    </row>
    <row r="4177" spans="1:12" ht="15.75" hidden="1" thickBot="1" x14ac:dyDescent="0.3">
      <c r="A4177" s="180" t="s">
        <v>2487</v>
      </c>
      <c r="B4177" s="178" t="str">
        <f>INDEX(Orçamentária!A:B,MATCH(Composições!A4177,Orçamentária!A:A,0),2)</f>
        <v>Tratamento de Tubulação Passante para Impermeabilização</v>
      </c>
      <c r="C4177" s="30"/>
      <c r="D4177" s="13" t="str">
        <f>TRIM(INDEX(Orçamentária!C:C,MATCH(Composições!A4177,Orçamentária!A:A,0),1))</f>
        <v>un</v>
      </c>
      <c r="E4177" s="14"/>
      <c r="F4177" s="15" t="s">
        <v>17</v>
      </c>
      <c r="G4177" s="40" t="s">
        <v>1079</v>
      </c>
      <c r="H4177" s="16"/>
      <c r="I4177" s="16" t="str">
        <f>IF(ISNUMBER(G4177),E4177*G4177,"")</f>
        <v/>
      </c>
      <c r="J4177" s="17"/>
      <c r="K4177" s="18"/>
      <c r="L4177" s="174">
        <v>0</v>
      </c>
    </row>
    <row r="4178" spans="1:12" hidden="1" x14ac:dyDescent="0.25">
      <c r="A4178" s="186"/>
      <c r="B4178" s="179"/>
      <c r="C4178" s="20"/>
      <c r="D4178" s="20"/>
      <c r="E4178" s="21"/>
      <c r="F4178" s="22"/>
      <c r="G4178" s="46" t="s">
        <v>1079</v>
      </c>
      <c r="H4178" s="20"/>
      <c r="I4178" s="46" t="str">
        <f>IF(ISNUMBER(G4178),E4178*G4178,"")</f>
        <v/>
      </c>
      <c r="J4178" s="69"/>
      <c r="K4178" s="70"/>
      <c r="L4178" s="174">
        <v>0</v>
      </c>
    </row>
    <row r="4179" spans="1:12" hidden="1" x14ac:dyDescent="0.25">
      <c r="A4179" s="186"/>
      <c r="B4179" s="179"/>
      <c r="C4179" s="25" t="s">
        <v>1831</v>
      </c>
      <c r="D4179" s="25" t="s">
        <v>1366</v>
      </c>
      <c r="E4179" s="26">
        <v>0.5</v>
      </c>
      <c r="F4179" s="27" t="s">
        <v>17</v>
      </c>
      <c r="G4179" s="46">
        <v>19.142499999999998</v>
      </c>
      <c r="H4179" s="27" t="s">
        <v>314</v>
      </c>
      <c r="I4179" s="46">
        <f>IF(ISNUMBER(G4179),E4179*G4179,"")</f>
        <v>9.5712499999999991</v>
      </c>
      <c r="J4179" s="28">
        <f>SUM(I4179:I4181)</f>
        <v>22.03526995</v>
      </c>
      <c r="K4179" s="29"/>
      <c r="L4179" s="174">
        <v>0</v>
      </c>
    </row>
    <row r="4180" spans="1:12" ht="25.5" hidden="1" x14ac:dyDescent="0.25">
      <c r="A4180" s="186"/>
      <c r="B4180" s="179"/>
      <c r="C4180" s="25" t="s">
        <v>1488</v>
      </c>
      <c r="D4180" s="36" t="s">
        <v>1629</v>
      </c>
      <c r="E4180" s="26">
        <f>ROUND(1.8*PI()*(0.2-0.15)*0.1*10,4)</f>
        <v>0.28270000000000001</v>
      </c>
      <c r="F4180" s="27" t="s">
        <v>17</v>
      </c>
      <c r="G4180" s="46">
        <v>28.718499999999999</v>
      </c>
      <c r="H4180" s="27" t="s">
        <v>1489</v>
      </c>
      <c r="I4180" s="46">
        <f>IF(ISNUMBER(G4180),E4180*G4180,"")</f>
        <v>8.1187199499999991</v>
      </c>
      <c r="J4180" s="69"/>
      <c r="K4180" s="70"/>
      <c r="L4180" s="174">
        <v>0</v>
      </c>
    </row>
    <row r="4181" spans="1:12" ht="25.5" hidden="1" x14ac:dyDescent="0.25">
      <c r="A4181" s="186"/>
      <c r="B4181" s="179"/>
      <c r="C4181" s="25" t="s">
        <v>1901</v>
      </c>
      <c r="D4181" s="26" t="s">
        <v>1902</v>
      </c>
      <c r="E4181" s="26">
        <v>0.2</v>
      </c>
      <c r="F4181" s="27" t="s">
        <v>17</v>
      </c>
      <c r="G4181" s="46">
        <v>21.726500000000001</v>
      </c>
      <c r="H4181" s="27" t="s">
        <v>1904</v>
      </c>
      <c r="I4181" s="46">
        <f>IF(ISNUMBER(G4181),E4181*G4181,"")</f>
        <v>4.3453000000000008</v>
      </c>
      <c r="J4181" s="69"/>
      <c r="K4181" s="70"/>
      <c r="L4181" s="174">
        <v>0</v>
      </c>
    </row>
    <row r="4182" spans="1:12" ht="15.75" hidden="1" thickBot="1" x14ac:dyDescent="0.3">
      <c r="A4182" s="187"/>
      <c r="B4182" s="183"/>
      <c r="C4182" s="47"/>
      <c r="D4182" s="47"/>
      <c r="E4182" s="60"/>
      <c r="F4182" s="61"/>
      <c r="G4182" s="73" t="s">
        <v>1079</v>
      </c>
      <c r="H4182" s="61"/>
      <c r="I4182" s="73" t="str">
        <f>IF(ISNUMBER(G4182),E4182*G4182,"")</f>
        <v/>
      </c>
      <c r="J4182" s="75"/>
      <c r="K4182" s="70"/>
      <c r="L4182" s="174">
        <v>0</v>
      </c>
    </row>
    <row r="4183" spans="1:12" ht="15.75" hidden="1" thickBot="1" x14ac:dyDescent="0.3">
      <c r="A4183" s="180" t="s">
        <v>2488</v>
      </c>
      <c r="B4183" s="178" t="str">
        <f>INDEX(Orçamentária!A:B,MATCH(Composições!A4183,Orçamentária!A:A,0),2)</f>
        <v>Regularização de substrato para Impermeabilização - 3cm</v>
      </c>
      <c r="C4183" s="30"/>
      <c r="D4183" s="13" t="str">
        <f>TRIM(INDEX(Orçamentária!C:C,MATCH(Composições!A4183,Orçamentária!A:A,0),1))</f>
        <v>m2</v>
      </c>
      <c r="E4183" s="14"/>
      <c r="F4183" s="15" t="s">
        <v>2489</v>
      </c>
      <c r="G4183" s="40" t="s">
        <v>1079</v>
      </c>
      <c r="H4183" s="16"/>
      <c r="I4183" s="16" t="str">
        <f>IF(ISNUMBER(G4183),E4183*G4183,"")</f>
        <v/>
      </c>
      <c r="J4183" s="17"/>
      <c r="K4183" s="18"/>
      <c r="L4183" s="174">
        <v>0</v>
      </c>
    </row>
    <row r="4184" spans="1:12" hidden="1" x14ac:dyDescent="0.25">
      <c r="A4184" s="186"/>
      <c r="B4184" s="179"/>
      <c r="C4184" s="20"/>
      <c r="D4184" s="20"/>
      <c r="E4184" s="21"/>
      <c r="F4184" s="22"/>
      <c r="G4184" s="46" t="s">
        <v>1079</v>
      </c>
      <c r="H4184" s="20"/>
      <c r="I4184" s="46" t="str">
        <f>IF(ISNUMBER(G4184),E4184*G4184,"")</f>
        <v/>
      </c>
      <c r="J4184" s="69"/>
      <c r="K4184" s="70"/>
      <c r="L4184" s="174">
        <v>0</v>
      </c>
    </row>
    <row r="4185" spans="1:12" hidden="1" x14ac:dyDescent="0.25">
      <c r="A4185" s="186"/>
      <c r="B4185" s="179"/>
      <c r="C4185" s="25" t="s">
        <v>1448</v>
      </c>
      <c r="D4185" s="25" t="s">
        <v>1629</v>
      </c>
      <c r="E4185" s="26">
        <v>0.5</v>
      </c>
      <c r="F4185" s="27" t="s">
        <v>2490</v>
      </c>
      <c r="G4185" s="46">
        <v>0.38</v>
      </c>
      <c r="H4185" s="27" t="s">
        <v>242</v>
      </c>
      <c r="I4185" s="46">
        <f>IF(ISNUMBER(G4185),E4185*G4185,"")</f>
        <v>0.19</v>
      </c>
      <c r="J4185" s="28">
        <f>SUM(I4185:I4189)</f>
        <v>31.225557349959999</v>
      </c>
      <c r="K4185" s="29"/>
      <c r="L4185" s="174">
        <v>0</v>
      </c>
    </row>
    <row r="4186" spans="1:12" ht="25.5" hidden="1" x14ac:dyDescent="0.25">
      <c r="A4186" s="186"/>
      <c r="B4186" s="179"/>
      <c r="C4186" s="25" t="s">
        <v>2491</v>
      </c>
      <c r="D4186" s="25" t="s">
        <v>208</v>
      </c>
      <c r="E4186" s="26">
        <v>0.435</v>
      </c>
      <c r="F4186" s="27" t="s">
        <v>2490</v>
      </c>
      <c r="G4186" s="46">
        <v>11.399999999999999</v>
      </c>
      <c r="H4186" s="27" t="s">
        <v>465</v>
      </c>
      <c r="I4186" s="46">
        <f>IF(ISNUMBER(G4186),E4186*G4186,"")</f>
        <v>4.9589999999999996</v>
      </c>
      <c r="J4186" s="69"/>
      <c r="K4186" s="70"/>
      <c r="L4186" s="174">
        <v>0</v>
      </c>
    </row>
    <row r="4187" spans="1:12" ht="38.25" hidden="1" x14ac:dyDescent="0.25">
      <c r="A4187" s="186"/>
      <c r="B4187" s="179"/>
      <c r="C4187" s="25" t="s">
        <v>2492</v>
      </c>
      <c r="D4187" s="25" t="s">
        <v>252</v>
      </c>
      <c r="E4187" s="26">
        <v>4.3099999999999999E-2</v>
      </c>
      <c r="F4187" s="27" t="s">
        <v>2490</v>
      </c>
      <c r="G4187" s="46">
        <v>403.61351159999998</v>
      </c>
      <c r="H4187" s="27" t="s">
        <v>2493</v>
      </c>
      <c r="I4187" s="46">
        <f>IF(ISNUMBER(G4187),E4187*G4187,"")</f>
        <v>17.395742349959999</v>
      </c>
      <c r="J4187" s="69"/>
      <c r="K4187" s="70"/>
      <c r="L4187" s="174">
        <v>0</v>
      </c>
    </row>
    <row r="4188" spans="1:12" hidden="1" x14ac:dyDescent="0.25">
      <c r="A4188" s="186"/>
      <c r="B4188" s="179"/>
      <c r="C4188" s="25" t="s">
        <v>1389</v>
      </c>
      <c r="D4188" s="36" t="s">
        <v>1366</v>
      </c>
      <c r="E4188" s="26">
        <v>0.33</v>
      </c>
      <c r="F4188" s="27" t="s">
        <v>2490</v>
      </c>
      <c r="G4188" s="46">
        <v>19.142499999999998</v>
      </c>
      <c r="H4188" s="27" t="s">
        <v>37</v>
      </c>
      <c r="I4188" s="46">
        <f>IF(ISNUMBER(G4188),E4188*G4188,"")</f>
        <v>6.3170250000000001</v>
      </c>
      <c r="J4188" s="69"/>
      <c r="K4188" s="70"/>
      <c r="L4188" s="174">
        <v>0</v>
      </c>
    </row>
    <row r="4189" spans="1:12" hidden="1" x14ac:dyDescent="0.25">
      <c r="A4189" s="186"/>
      <c r="B4189" s="179"/>
      <c r="C4189" s="25" t="s">
        <v>1367</v>
      </c>
      <c r="D4189" s="25" t="s">
        <v>1366</v>
      </c>
      <c r="E4189" s="26">
        <v>0.16500000000000001</v>
      </c>
      <c r="F4189" s="27" t="s">
        <v>2490</v>
      </c>
      <c r="G4189" s="46">
        <v>14.325999999999999</v>
      </c>
      <c r="H4189" s="27" t="s">
        <v>39</v>
      </c>
      <c r="I4189" s="46">
        <f>IF(ISNUMBER(G4189),E4189*G4189,"")</f>
        <v>2.3637899999999998</v>
      </c>
      <c r="J4189" s="69"/>
      <c r="K4189" s="70"/>
      <c r="L4189" s="174">
        <v>0</v>
      </c>
    </row>
    <row r="4190" spans="1:12" hidden="1" x14ac:dyDescent="0.25">
      <c r="A4190" s="186"/>
      <c r="B4190" s="179"/>
      <c r="C4190" s="25"/>
      <c r="D4190" s="25"/>
      <c r="E4190" s="26"/>
      <c r="F4190" s="27"/>
      <c r="G4190" s="46" t="s">
        <v>1079</v>
      </c>
      <c r="H4190" s="27"/>
      <c r="I4190" s="46" t="str">
        <f>IF(ISNUMBER(G4190),E4190*G4190,"")</f>
        <v/>
      </c>
      <c r="J4190" s="69"/>
      <c r="K4190" s="70"/>
      <c r="L4190" s="174">
        <v>0</v>
      </c>
    </row>
    <row r="4191" spans="1:12" ht="15.75" hidden="1" thickBot="1" x14ac:dyDescent="0.3">
      <c r="A4191" s="180" t="s">
        <v>2494</v>
      </c>
      <c r="B4191" s="178" t="str">
        <f>INDEX(Orçamentária!A:B,MATCH(Composições!A4191,Orçamentária!A:A,0),2)</f>
        <v>Regularização de substrato para Impermeabilização - 6cm</v>
      </c>
      <c r="C4191" s="30"/>
      <c r="D4191" s="13" t="str">
        <f>TRIM(INDEX(Orçamentária!C:C,MATCH(Composições!A4191,Orçamentária!A:A,0),1))</f>
        <v>m2</v>
      </c>
      <c r="E4191" s="14"/>
      <c r="F4191" s="15" t="s">
        <v>2495</v>
      </c>
      <c r="G4191" s="40" t="s">
        <v>1079</v>
      </c>
      <c r="H4191" s="16"/>
      <c r="I4191" s="16" t="str">
        <f>IF(ISNUMBER(G4191),E4191*G4191,"")</f>
        <v/>
      </c>
      <c r="J4191" s="17"/>
      <c r="K4191" s="18"/>
      <c r="L4191" s="174">
        <v>0</v>
      </c>
    </row>
    <row r="4192" spans="1:12" hidden="1" x14ac:dyDescent="0.25">
      <c r="A4192" s="186"/>
      <c r="B4192" s="179"/>
      <c r="C4192" s="20"/>
      <c r="D4192" s="20"/>
      <c r="E4192" s="21"/>
      <c r="F4192" s="22"/>
      <c r="G4192" s="46" t="s">
        <v>1079</v>
      </c>
      <c r="H4192" s="20"/>
      <c r="I4192" s="46" t="str">
        <f>IF(ISNUMBER(G4192),E4192*G4192,"")</f>
        <v/>
      </c>
      <c r="J4192" s="69"/>
      <c r="K4192" s="70"/>
      <c r="L4192" s="174">
        <v>0</v>
      </c>
    </row>
    <row r="4193" spans="1:12" hidden="1" x14ac:dyDescent="0.25">
      <c r="A4193" s="186"/>
      <c r="B4193" s="179"/>
      <c r="C4193" s="25" t="s">
        <v>1389</v>
      </c>
      <c r="D4193" s="25" t="s">
        <v>21</v>
      </c>
      <c r="E4193" s="26">
        <v>0.38</v>
      </c>
      <c r="F4193" s="27" t="s">
        <v>2496</v>
      </c>
      <c r="G4193" s="46">
        <v>19.142499999999998</v>
      </c>
      <c r="H4193" s="27" t="s">
        <v>37</v>
      </c>
      <c r="I4193" s="46">
        <f>IF(ISNUMBER(G4193),E4193*G4193,"")</f>
        <v>7.2741499999999997</v>
      </c>
      <c r="J4193" s="28">
        <f>SUM(I4193:I4195)</f>
        <v>36.603313116760006</v>
      </c>
      <c r="K4193" s="29"/>
      <c r="L4193" s="174">
        <v>0</v>
      </c>
    </row>
    <row r="4194" spans="1:12" hidden="1" x14ac:dyDescent="0.25">
      <c r="A4194" s="186"/>
      <c r="B4194" s="179"/>
      <c r="C4194" s="25" t="s">
        <v>1367</v>
      </c>
      <c r="D4194" s="25" t="s">
        <v>21</v>
      </c>
      <c r="E4194" s="26">
        <v>0.185</v>
      </c>
      <c r="F4194" s="27" t="s">
        <v>2496</v>
      </c>
      <c r="G4194" s="46">
        <v>14.325999999999999</v>
      </c>
      <c r="H4194" s="27" t="s">
        <v>39</v>
      </c>
      <c r="I4194" s="46">
        <f>IF(ISNUMBER(G4194),E4194*G4194,"")</f>
        <v>2.6503099999999997</v>
      </c>
      <c r="J4194" s="69"/>
      <c r="K4194" s="70"/>
      <c r="L4194" s="174">
        <v>0</v>
      </c>
    </row>
    <row r="4195" spans="1:12" ht="38.25" hidden="1" x14ac:dyDescent="0.25">
      <c r="A4195" s="186"/>
      <c r="B4195" s="179"/>
      <c r="C4195" s="25" t="s">
        <v>2492</v>
      </c>
      <c r="D4195" s="25" t="s">
        <v>252</v>
      </c>
      <c r="E4195" s="26">
        <v>6.6100000000000006E-2</v>
      </c>
      <c r="F4195" s="27" t="s">
        <v>2496</v>
      </c>
      <c r="G4195" s="46">
        <v>403.61351159999998</v>
      </c>
      <c r="H4195" s="27" t="s">
        <v>2493</v>
      </c>
      <c r="I4195" s="46">
        <f>IF(ISNUMBER(G4195),E4195*G4195,"")</f>
        <v>26.678853116760003</v>
      </c>
      <c r="J4195" s="69"/>
      <c r="K4195" s="70"/>
      <c r="L4195" s="174">
        <v>0</v>
      </c>
    </row>
    <row r="4196" spans="1:12" ht="15.75" hidden="1" thickBot="1" x14ac:dyDescent="0.3">
      <c r="A4196" s="187"/>
      <c r="B4196" s="183"/>
      <c r="C4196" s="47"/>
      <c r="D4196" s="47"/>
      <c r="E4196" s="60"/>
      <c r="F4196" s="61"/>
      <c r="G4196" s="73" t="s">
        <v>1079</v>
      </c>
      <c r="H4196" s="61"/>
      <c r="I4196" s="73" t="str">
        <f>IF(ISNUMBER(G4196),E4196*G4196,"")</f>
        <v/>
      </c>
      <c r="J4196" s="75"/>
      <c r="K4196" s="70"/>
      <c r="L4196" s="174">
        <v>0</v>
      </c>
    </row>
    <row r="4197" spans="1:12" ht="15.75" hidden="1" thickBot="1" x14ac:dyDescent="0.3">
      <c r="A4197" s="180" t="s">
        <v>2497</v>
      </c>
      <c r="B4197" s="178" t="str">
        <f>INDEX(Orçamentária!A:B,MATCH(Composições!A4197,Orçamentária!A:A,0),2)</f>
        <v>Camada Separadora para Impermeabilização</v>
      </c>
      <c r="C4197" s="30"/>
      <c r="D4197" s="13" t="str">
        <f>TRIM(INDEX(Orçamentária!C:C,MATCH(Composições!A4197,Orçamentária!A:A,0),1))</f>
        <v>m2</v>
      </c>
      <c r="E4197" s="14"/>
      <c r="F4197" s="15" t="s">
        <v>2498</v>
      </c>
      <c r="G4197" s="40" t="s">
        <v>1079</v>
      </c>
      <c r="H4197" s="16"/>
      <c r="I4197" s="16" t="str">
        <f>IF(ISNUMBER(G4197),E4197*G4197,"")</f>
        <v/>
      </c>
      <c r="J4197" s="17"/>
      <c r="K4197" s="18"/>
      <c r="L4197" s="174">
        <v>0</v>
      </c>
    </row>
    <row r="4198" spans="1:12" hidden="1" x14ac:dyDescent="0.25">
      <c r="A4198" s="186"/>
      <c r="B4198" s="179"/>
      <c r="C4198" s="20"/>
      <c r="D4198" s="20"/>
      <c r="E4198" s="21"/>
      <c r="F4198" s="22"/>
      <c r="G4198" s="46" t="s">
        <v>1079</v>
      </c>
      <c r="H4198" s="20"/>
      <c r="I4198" s="46" t="str">
        <f>IF(ISNUMBER(G4198),E4198*G4198,"")</f>
        <v/>
      </c>
      <c r="J4198" s="69"/>
      <c r="K4198" s="70"/>
      <c r="L4198" s="174">
        <v>0</v>
      </c>
    </row>
    <row r="4199" spans="1:12" hidden="1" x14ac:dyDescent="0.25">
      <c r="A4199" s="186"/>
      <c r="B4199" s="179"/>
      <c r="C4199" s="25" t="s">
        <v>1367</v>
      </c>
      <c r="D4199" s="25" t="s">
        <v>1366</v>
      </c>
      <c r="E4199" s="26">
        <v>0.01</v>
      </c>
      <c r="F4199" s="27" t="s">
        <v>2499</v>
      </c>
      <c r="G4199" s="46">
        <v>14.325999999999999</v>
      </c>
      <c r="H4199" s="27" t="s">
        <v>39</v>
      </c>
      <c r="I4199" s="46">
        <f>IF(ISNUMBER(G4199),E4199*G4199,"")</f>
        <v>0.14326</v>
      </c>
      <c r="J4199" s="28">
        <f>SUM(I4199:I4200)</f>
        <v>5.8907600000000002</v>
      </c>
      <c r="K4199" s="29"/>
      <c r="L4199" s="174">
        <v>0</v>
      </c>
    </row>
    <row r="4200" spans="1:12" ht="25.5" hidden="1" x14ac:dyDescent="0.25">
      <c r="A4200" s="186"/>
      <c r="B4200" s="179"/>
      <c r="C4200" s="25" t="s">
        <v>2500</v>
      </c>
      <c r="D4200" s="25" t="s">
        <v>189</v>
      </c>
      <c r="E4200" s="26">
        <v>1.1000000000000001</v>
      </c>
      <c r="F4200" s="27" t="s">
        <v>2499</v>
      </c>
      <c r="G4200" s="46">
        <v>5.2249999999999996</v>
      </c>
      <c r="H4200" s="27" t="s">
        <v>2501</v>
      </c>
      <c r="I4200" s="46">
        <f>IF(ISNUMBER(G4200),E4200*G4200,"")</f>
        <v>5.7475000000000005</v>
      </c>
      <c r="J4200" s="69"/>
      <c r="K4200" s="70"/>
      <c r="L4200" s="174">
        <v>0</v>
      </c>
    </row>
    <row r="4201" spans="1:12" ht="15.75" hidden="1" thickBot="1" x14ac:dyDescent="0.3">
      <c r="A4201" s="187"/>
      <c r="B4201" s="183"/>
      <c r="C4201" s="47"/>
      <c r="D4201" s="47"/>
      <c r="E4201" s="60"/>
      <c r="F4201" s="61"/>
      <c r="G4201" s="73" t="s">
        <v>1079</v>
      </c>
      <c r="H4201" s="61"/>
      <c r="I4201" s="73" t="str">
        <f>IF(ISNUMBER(G4201),E4201*G4201,"")</f>
        <v/>
      </c>
      <c r="J4201" s="75"/>
      <c r="K4201" s="70"/>
      <c r="L4201" s="174">
        <v>0</v>
      </c>
    </row>
    <row r="4202" spans="1:12" ht="15.75" hidden="1" thickBot="1" x14ac:dyDescent="0.3">
      <c r="A4202" s="180" t="s">
        <v>2502</v>
      </c>
      <c r="B4202" s="178" t="str">
        <f>INDEX(Orçamentária!A:B,MATCH(Composições!A4202,Orçamentária!A:A,0),2)</f>
        <v>Camada de Proteção Térmica para Impermeabilização</v>
      </c>
      <c r="C4202" s="30"/>
      <c r="D4202" s="13" t="str">
        <f>TRIM(INDEX(Orçamentária!C:C,MATCH(Composições!A4202,Orçamentária!A:A,0),1))</f>
        <v>m2</v>
      </c>
      <c r="E4202" s="14"/>
      <c r="F4202" s="15" t="s">
        <v>17</v>
      </c>
      <c r="G4202" s="40" t="s">
        <v>1079</v>
      </c>
      <c r="H4202" s="16"/>
      <c r="I4202" s="16" t="str">
        <f>IF(ISNUMBER(G4202),E4202*G4202,"")</f>
        <v/>
      </c>
      <c r="J4202" s="17"/>
      <c r="K4202" s="18"/>
      <c r="L4202" s="174">
        <v>0</v>
      </c>
    </row>
    <row r="4203" spans="1:12" hidden="1" x14ac:dyDescent="0.25">
      <c r="A4203" s="186"/>
      <c r="B4203" s="179"/>
      <c r="C4203" s="20"/>
      <c r="D4203" s="20"/>
      <c r="E4203" s="21"/>
      <c r="F4203" s="22"/>
      <c r="G4203" s="46" t="s">
        <v>1079</v>
      </c>
      <c r="H4203" s="20"/>
      <c r="I4203" s="46" t="str">
        <f>IF(ISNUMBER(G4203),E4203*G4203,"")</f>
        <v/>
      </c>
      <c r="J4203" s="69"/>
      <c r="K4203" s="70"/>
      <c r="L4203" s="174">
        <v>0</v>
      </c>
    </row>
    <row r="4204" spans="1:12" hidden="1" x14ac:dyDescent="0.25">
      <c r="A4204" s="186"/>
      <c r="B4204" s="179"/>
      <c r="C4204" s="25" t="s">
        <v>1367</v>
      </c>
      <c r="D4204" s="25" t="s">
        <v>1366</v>
      </c>
      <c r="E4204" s="26">
        <v>0.05</v>
      </c>
      <c r="F4204" s="27" t="s">
        <v>17</v>
      </c>
      <c r="G4204" s="46">
        <v>14.325999999999999</v>
      </c>
      <c r="H4204" s="27" t="s">
        <v>39</v>
      </c>
      <c r="I4204" s="46">
        <f>IF(ISNUMBER(G4204),E4204*G4204,"")</f>
        <v>0.71629999999999994</v>
      </c>
      <c r="J4204" s="28">
        <f>SUM(I4204:I4205)</f>
        <v>7.3995499999999996</v>
      </c>
      <c r="K4204" s="29"/>
      <c r="L4204" s="174">
        <v>0</v>
      </c>
    </row>
    <row r="4205" spans="1:12" ht="25.5" hidden="1" x14ac:dyDescent="0.25">
      <c r="A4205" s="186"/>
      <c r="B4205" s="179"/>
      <c r="C4205" s="25" t="s">
        <v>2503</v>
      </c>
      <c r="D4205" s="25" t="s">
        <v>189</v>
      </c>
      <c r="E4205" s="26">
        <v>1.05</v>
      </c>
      <c r="F4205" s="27" t="s">
        <v>17</v>
      </c>
      <c r="G4205" s="46">
        <v>6.3650000000000002</v>
      </c>
      <c r="H4205" s="27" t="s">
        <v>2504</v>
      </c>
      <c r="I4205" s="46">
        <f>IF(ISNUMBER(G4205),E4205*G4205,"")</f>
        <v>6.6832500000000001</v>
      </c>
      <c r="J4205" s="69"/>
      <c r="K4205" s="70"/>
      <c r="L4205" s="174">
        <v>0</v>
      </c>
    </row>
    <row r="4206" spans="1:12" ht="15.75" hidden="1" thickBot="1" x14ac:dyDescent="0.3">
      <c r="A4206" s="187"/>
      <c r="B4206" s="183"/>
      <c r="C4206" s="47"/>
      <c r="D4206" s="47"/>
      <c r="E4206" s="60"/>
      <c r="F4206" s="61"/>
      <c r="G4206" s="73" t="s">
        <v>1079</v>
      </c>
      <c r="H4206" s="61"/>
      <c r="I4206" s="73" t="str">
        <f>IF(ISNUMBER(G4206),E4206*G4206,"")</f>
        <v/>
      </c>
      <c r="J4206" s="75"/>
      <c r="K4206" s="70"/>
      <c r="L4206" s="174">
        <v>0</v>
      </c>
    </row>
    <row r="4207" spans="1:12" ht="15.75" hidden="1" thickBot="1" x14ac:dyDescent="0.3">
      <c r="A4207" s="180" t="s">
        <v>2505</v>
      </c>
      <c r="B4207" s="178" t="str">
        <f>INDEX(Orçamentária!A:B,MATCH(Composições!A4207,Orçamentária!A:A,0),2)</f>
        <v>Camada de Amortecimento para Impermeabilização</v>
      </c>
      <c r="C4207" s="30"/>
      <c r="D4207" s="13" t="str">
        <f>TRIM(INDEX(Orçamentária!C:C,MATCH(Composições!A4207,Orçamentária!A:A,0),1))</f>
        <v>m2</v>
      </c>
      <c r="E4207" s="14"/>
      <c r="F4207" s="15" t="s">
        <v>2506</v>
      </c>
      <c r="G4207" s="40" t="s">
        <v>1079</v>
      </c>
      <c r="H4207" s="16"/>
      <c r="I4207" s="16" t="str">
        <f>IF(ISNUMBER(G4207),E4207*G4207,"")</f>
        <v/>
      </c>
      <c r="J4207" s="17"/>
      <c r="K4207" s="18"/>
      <c r="L4207" s="174">
        <v>0</v>
      </c>
    </row>
    <row r="4208" spans="1:12" hidden="1" x14ac:dyDescent="0.25">
      <c r="A4208" s="186"/>
      <c r="B4208" s="179"/>
      <c r="C4208" s="20"/>
      <c r="D4208" s="20"/>
      <c r="E4208" s="21"/>
      <c r="F4208" s="22"/>
      <c r="G4208" s="46" t="s">
        <v>1079</v>
      </c>
      <c r="H4208" s="20"/>
      <c r="I4208" s="46" t="str">
        <f>IF(ISNUMBER(G4208),E4208*G4208,"")</f>
        <v/>
      </c>
      <c r="J4208" s="69"/>
      <c r="K4208" s="70"/>
      <c r="L4208" s="174">
        <v>0</v>
      </c>
    </row>
    <row r="4209" spans="1:12" hidden="1" x14ac:dyDescent="0.25">
      <c r="A4209" s="186"/>
      <c r="B4209" s="179"/>
      <c r="C4209" s="25" t="s">
        <v>1389</v>
      </c>
      <c r="D4209" s="25" t="s">
        <v>21</v>
      </c>
      <c r="E4209" s="26">
        <v>0.28999999999999998</v>
      </c>
      <c r="F4209" s="27" t="s">
        <v>2496</v>
      </c>
      <c r="G4209" s="46">
        <v>19.142499999999998</v>
      </c>
      <c r="H4209" s="27" t="s">
        <v>37</v>
      </c>
      <c r="I4209" s="46">
        <f>IF(ISNUMBER(G4209),E4209*G4209,"")</f>
        <v>5.5513249999999994</v>
      </c>
      <c r="J4209" s="28">
        <f>SUM(I4209:I4211)</f>
        <v>20.000385917599996</v>
      </c>
      <c r="K4209" s="29"/>
      <c r="L4209" s="174">
        <v>0</v>
      </c>
    </row>
    <row r="4210" spans="1:12" hidden="1" x14ac:dyDescent="0.25">
      <c r="A4210" s="186"/>
      <c r="B4210" s="179"/>
      <c r="C4210" s="25" t="s">
        <v>1367</v>
      </c>
      <c r="D4210" s="25" t="s">
        <v>21</v>
      </c>
      <c r="E4210" s="26">
        <v>0.14499999999999999</v>
      </c>
      <c r="F4210" s="27" t="s">
        <v>2496</v>
      </c>
      <c r="G4210" s="46">
        <v>14.325999999999999</v>
      </c>
      <c r="H4210" s="27" t="s">
        <v>39</v>
      </c>
      <c r="I4210" s="46">
        <f>IF(ISNUMBER(G4210),E4210*G4210,"")</f>
        <v>2.0772699999999995</v>
      </c>
      <c r="J4210" s="69"/>
      <c r="K4210" s="70"/>
      <c r="L4210" s="174">
        <v>0</v>
      </c>
    </row>
    <row r="4211" spans="1:12" ht="51" hidden="1" x14ac:dyDescent="0.25">
      <c r="A4211" s="186"/>
      <c r="B4211" s="179"/>
      <c r="C4211" s="25" t="s">
        <v>326</v>
      </c>
      <c r="D4211" s="25" t="s">
        <v>252</v>
      </c>
      <c r="E4211" s="26">
        <v>3.1E-2</v>
      </c>
      <c r="F4211" s="27" t="s">
        <v>2496</v>
      </c>
      <c r="G4211" s="46">
        <v>399.09002959999992</v>
      </c>
      <c r="H4211" s="27" t="s">
        <v>327</v>
      </c>
      <c r="I4211" s="46">
        <f>IF(ISNUMBER(G4211),E4211*G4211,"")</f>
        <v>12.371790917599997</v>
      </c>
      <c r="J4211" s="69"/>
      <c r="K4211" s="70"/>
      <c r="L4211" s="174">
        <v>0</v>
      </c>
    </row>
    <row r="4212" spans="1:12" ht="15.75" hidden="1" thickBot="1" x14ac:dyDescent="0.3">
      <c r="A4212" s="187"/>
      <c r="B4212" s="183"/>
      <c r="C4212" s="47"/>
      <c r="D4212" s="47"/>
      <c r="E4212" s="60"/>
      <c r="F4212" s="61"/>
      <c r="G4212" s="73" t="s">
        <v>1079</v>
      </c>
      <c r="H4212" s="61"/>
      <c r="I4212" s="73" t="str">
        <f>IF(ISNUMBER(G4212),E4212*G4212,"")</f>
        <v/>
      </c>
      <c r="J4212" s="75"/>
      <c r="K4212" s="70"/>
      <c r="L4212" s="174">
        <v>0</v>
      </c>
    </row>
    <row r="4213" spans="1:12" ht="15.75" hidden="1" thickBot="1" x14ac:dyDescent="0.3">
      <c r="A4213" s="180" t="s">
        <v>2507</v>
      </c>
      <c r="B4213" s="178" t="str">
        <f>INDEX(Orçamentária!A:B,MATCH(Composições!A4213,Orçamentária!A:A,0),2)</f>
        <v>Camada de Proteção Mecânica em Placas de Impermeabilização</v>
      </c>
      <c r="C4213" s="30"/>
      <c r="D4213" s="13" t="str">
        <f>TRIM(INDEX(Orçamentária!C:C,MATCH(Composições!A4213,Orçamentária!A:A,0),1))</f>
        <v>m2</v>
      </c>
      <c r="E4213" s="14"/>
      <c r="F4213" s="15" t="s">
        <v>2508</v>
      </c>
      <c r="G4213" s="40" t="s">
        <v>1079</v>
      </c>
      <c r="H4213" s="16"/>
      <c r="I4213" s="16" t="str">
        <f>IF(ISNUMBER(G4213),E4213*G4213,"")</f>
        <v/>
      </c>
      <c r="J4213" s="17"/>
      <c r="K4213" s="18"/>
      <c r="L4213" s="174">
        <v>0</v>
      </c>
    </row>
    <row r="4214" spans="1:12" hidden="1" x14ac:dyDescent="0.25">
      <c r="A4214" s="186"/>
      <c r="B4214" s="179"/>
      <c r="C4214" s="20"/>
      <c r="D4214" s="20"/>
      <c r="E4214" s="21"/>
      <c r="F4214" s="22"/>
      <c r="G4214" s="46" t="s">
        <v>1079</v>
      </c>
      <c r="H4214" s="20"/>
      <c r="I4214" s="46" t="str">
        <f>IF(ISNUMBER(G4214),E4214*G4214,"")</f>
        <v/>
      </c>
      <c r="J4214" s="69"/>
      <c r="K4214" s="70"/>
      <c r="L4214" s="174">
        <v>0</v>
      </c>
    </row>
    <row r="4215" spans="1:12" hidden="1" x14ac:dyDescent="0.25">
      <c r="A4215" s="186"/>
      <c r="B4215" s="179"/>
      <c r="C4215" s="25" t="s">
        <v>1834</v>
      </c>
      <c r="D4215" s="25" t="s">
        <v>1795</v>
      </c>
      <c r="E4215" s="26">
        <v>1.04</v>
      </c>
      <c r="F4215" s="27" t="s">
        <v>2509</v>
      </c>
      <c r="G4215" s="46">
        <v>1.4344999999999999</v>
      </c>
      <c r="H4215" s="27" t="s">
        <v>1835</v>
      </c>
      <c r="I4215" s="46">
        <f>IF(ISNUMBER(G4215),E4215*G4215,"")</f>
        <v>1.4918799999999999</v>
      </c>
      <c r="J4215" s="28">
        <f>SUM(I4215:I4219)</f>
        <v>60.252494574999986</v>
      </c>
      <c r="K4215" s="29"/>
      <c r="L4215" s="174">
        <v>0</v>
      </c>
    </row>
    <row r="4216" spans="1:12" ht="25.5" hidden="1" x14ac:dyDescent="0.25">
      <c r="A4216" s="186"/>
      <c r="B4216" s="179"/>
      <c r="C4216" s="25" t="s">
        <v>1836</v>
      </c>
      <c r="D4216" s="25" t="s">
        <v>252</v>
      </c>
      <c r="E4216" s="26">
        <v>4.3999999999999997E-2</v>
      </c>
      <c r="F4216" s="27" t="s">
        <v>2509</v>
      </c>
      <c r="G4216" s="46">
        <v>525.12045624999996</v>
      </c>
      <c r="H4216" s="27" t="s">
        <v>1837</v>
      </c>
      <c r="I4216" s="46">
        <f>IF(ISNUMBER(G4216),E4216*G4216,"")</f>
        <v>23.105300074999995</v>
      </c>
      <c r="J4216" s="69"/>
      <c r="K4216" s="70"/>
      <c r="L4216" s="174">
        <v>0</v>
      </c>
    </row>
    <row r="4217" spans="1:12" hidden="1" x14ac:dyDescent="0.25">
      <c r="A4217" s="186"/>
      <c r="B4217" s="179"/>
      <c r="C4217" s="25" t="s">
        <v>1389</v>
      </c>
      <c r="D4217" s="25" t="s">
        <v>1366</v>
      </c>
      <c r="E4217" s="26">
        <v>0.89900000000000002</v>
      </c>
      <c r="F4217" s="27" t="s">
        <v>2509</v>
      </c>
      <c r="G4217" s="46">
        <v>19.142499999999998</v>
      </c>
      <c r="H4217" s="27" t="s">
        <v>37</v>
      </c>
      <c r="I4217" s="46">
        <f>IF(ISNUMBER(G4217),E4217*G4217,"")</f>
        <v>17.209107499999998</v>
      </c>
      <c r="J4217" s="69"/>
      <c r="K4217" s="70"/>
      <c r="L4217" s="174">
        <v>0</v>
      </c>
    </row>
    <row r="4218" spans="1:12" hidden="1" x14ac:dyDescent="0.25">
      <c r="A4218" s="186"/>
      <c r="B4218" s="179"/>
      <c r="C4218" s="25" t="s">
        <v>1367</v>
      </c>
      <c r="D4218" s="25" t="s">
        <v>1366</v>
      </c>
      <c r="E4218" s="26">
        <v>0.182</v>
      </c>
      <c r="F4218" s="27" t="s">
        <v>2509</v>
      </c>
      <c r="G4218" s="46">
        <v>14.325999999999999</v>
      </c>
      <c r="H4218" s="27" t="s">
        <v>39</v>
      </c>
      <c r="I4218" s="46">
        <f>IF(ISNUMBER(G4218),E4218*G4218,"")</f>
        <v>2.6073319999999995</v>
      </c>
      <c r="J4218" s="69"/>
      <c r="K4218" s="70"/>
      <c r="L4218" s="174">
        <v>0</v>
      </c>
    </row>
    <row r="4219" spans="1:12" ht="38.25" hidden="1" x14ac:dyDescent="0.25">
      <c r="A4219" s="186"/>
      <c r="B4219" s="179"/>
      <c r="C4219" s="25" t="s">
        <v>1828</v>
      </c>
      <c r="D4219" s="25" t="s">
        <v>1629</v>
      </c>
      <c r="E4219" s="26">
        <f>0.15*2.5*(6/2)</f>
        <v>1.125</v>
      </c>
      <c r="F4219" s="27" t="s">
        <v>17</v>
      </c>
      <c r="G4219" s="46">
        <v>14.078999999999999</v>
      </c>
      <c r="H4219" s="27" t="s">
        <v>1829</v>
      </c>
      <c r="I4219" s="46">
        <f>IF(ISNUMBER(G4219),E4219*G4219,"")</f>
        <v>15.838874999999998</v>
      </c>
      <c r="J4219" s="69"/>
      <c r="K4219" s="70"/>
      <c r="L4219" s="174">
        <v>0</v>
      </c>
    </row>
    <row r="4220" spans="1:12" hidden="1" x14ac:dyDescent="0.25">
      <c r="A4220" s="186"/>
      <c r="B4220" s="179"/>
      <c r="C4220" s="25"/>
      <c r="D4220" s="25"/>
      <c r="E4220" s="26"/>
      <c r="F4220" s="27"/>
      <c r="G4220" s="46" t="s">
        <v>1079</v>
      </c>
      <c r="H4220" s="27"/>
      <c r="I4220" s="46" t="str">
        <f>IF(ISNUMBER(G4220),E4220*G4220,"")</f>
        <v/>
      </c>
      <c r="J4220" s="69"/>
      <c r="K4220" s="70"/>
      <c r="L4220" s="174">
        <v>0</v>
      </c>
    </row>
    <row r="4221" spans="1:12" ht="15.75" hidden="1" thickBot="1" x14ac:dyDescent="0.3">
      <c r="A4221" s="180" t="s">
        <v>2510</v>
      </c>
      <c r="B4221" s="178" t="str">
        <f>INDEX(Orçamentária!A:B,MATCH(Composições!A4221,Orçamentária!A:A,0),2)</f>
        <v>Pintura Inibidora de Raízes em Estrutura Impermeabilizada</v>
      </c>
      <c r="C4221" s="30"/>
      <c r="D4221" s="13" t="str">
        <f>TRIM(INDEX(Orçamentária!C:C,MATCH(Composições!A4221,Orçamentária!A:A,0),1))</f>
        <v>m2</v>
      </c>
      <c r="E4221" s="14"/>
      <c r="F4221" s="15" t="s">
        <v>2511</v>
      </c>
      <c r="G4221" s="40" t="s">
        <v>1079</v>
      </c>
      <c r="H4221" s="16"/>
      <c r="I4221" s="16" t="str">
        <f>IF(ISNUMBER(G4221),E4221*G4221,"")</f>
        <v/>
      </c>
      <c r="J4221" s="17"/>
      <c r="K4221" s="18"/>
      <c r="L4221" s="174">
        <v>0</v>
      </c>
    </row>
    <row r="4222" spans="1:12" hidden="1" x14ac:dyDescent="0.25">
      <c r="A4222" s="186"/>
      <c r="B4222" s="179"/>
      <c r="C4222" s="20"/>
      <c r="D4222" s="20"/>
      <c r="E4222" s="21"/>
      <c r="F4222" s="22"/>
      <c r="G4222" s="46" t="s">
        <v>1079</v>
      </c>
      <c r="H4222" s="20"/>
      <c r="I4222" s="46" t="str">
        <f>IF(ISNUMBER(G4222),E4222*G4222,"")</f>
        <v/>
      </c>
      <c r="J4222" s="69"/>
      <c r="K4222" s="70"/>
      <c r="L4222" s="174">
        <v>0</v>
      </c>
    </row>
    <row r="4223" spans="1:12" hidden="1" x14ac:dyDescent="0.25">
      <c r="A4223" s="186"/>
      <c r="B4223" s="179"/>
      <c r="C4223" s="25" t="s">
        <v>2512</v>
      </c>
      <c r="D4223" s="25" t="s">
        <v>208</v>
      </c>
      <c r="E4223" s="26">
        <v>1</v>
      </c>
      <c r="F4223" s="27" t="s">
        <v>17</v>
      </c>
      <c r="G4223" s="46" t="s">
        <v>1079</v>
      </c>
      <c r="H4223" s="27" t="s">
        <v>33</v>
      </c>
      <c r="I4223" s="46" t="str">
        <f>IF(ISNUMBER(G4223),E4223*G4223,"")</f>
        <v/>
      </c>
      <c r="J4223" s="28">
        <f>SUM(I4223:I4225)</f>
        <v>10.3569</v>
      </c>
      <c r="K4223" s="29"/>
      <c r="L4223" s="174">
        <v>0</v>
      </c>
    </row>
    <row r="4224" spans="1:12" hidden="1" x14ac:dyDescent="0.25">
      <c r="A4224" s="186"/>
      <c r="B4224" s="179"/>
      <c r="C4224" s="25" t="s">
        <v>1972</v>
      </c>
      <c r="D4224" s="25" t="s">
        <v>1366</v>
      </c>
      <c r="E4224" s="26">
        <v>0.3</v>
      </c>
      <c r="F4224" s="27" t="s">
        <v>2513</v>
      </c>
      <c r="G4224" s="46">
        <v>20.196999999999999</v>
      </c>
      <c r="H4224" s="27" t="s">
        <v>206</v>
      </c>
      <c r="I4224" s="46">
        <f>IF(ISNUMBER(G4224),E4224*G4224,"")</f>
        <v>6.0590999999999999</v>
      </c>
      <c r="J4224" s="69"/>
      <c r="K4224" s="70"/>
      <c r="L4224" s="174">
        <v>0</v>
      </c>
    </row>
    <row r="4225" spans="1:12" hidden="1" x14ac:dyDescent="0.25">
      <c r="A4225" s="186"/>
      <c r="B4225" s="179"/>
      <c r="C4225" s="25" t="s">
        <v>1367</v>
      </c>
      <c r="D4225" s="25" t="s">
        <v>1366</v>
      </c>
      <c r="E4225" s="26">
        <v>0.3</v>
      </c>
      <c r="F4225" s="27" t="s">
        <v>2513</v>
      </c>
      <c r="G4225" s="46">
        <v>14.325999999999999</v>
      </c>
      <c r="H4225" s="27" t="s">
        <v>39</v>
      </c>
      <c r="I4225" s="46">
        <f>IF(ISNUMBER(G4225),E4225*G4225,"")</f>
        <v>4.2977999999999996</v>
      </c>
      <c r="J4225" s="69"/>
      <c r="K4225" s="70"/>
      <c r="L4225" s="174">
        <v>0</v>
      </c>
    </row>
    <row r="4226" spans="1:12" ht="15.75" hidden="1" thickBot="1" x14ac:dyDescent="0.3">
      <c r="A4226" s="187"/>
      <c r="B4226" s="183"/>
      <c r="C4226" s="47"/>
      <c r="D4226" s="47"/>
      <c r="E4226" s="60"/>
      <c r="F4226" s="61"/>
      <c r="G4226" s="73" t="s">
        <v>1079</v>
      </c>
      <c r="H4226" s="61"/>
      <c r="I4226" s="73" t="str">
        <f>IF(ISNUMBER(G4226),E4226*G4226,"")</f>
        <v/>
      </c>
      <c r="J4226" s="75"/>
      <c r="K4226" s="70"/>
      <c r="L4226" s="174">
        <v>0</v>
      </c>
    </row>
    <row r="4227" spans="1:12" ht="15.75" hidden="1" thickBot="1" x14ac:dyDescent="0.3">
      <c r="A4227" s="180" t="s">
        <v>2514</v>
      </c>
      <c r="B4227" s="178" t="str">
        <f>INDEX(Orçamentária!A:B,MATCH(Composições!A4227,Orçamentária!A:A,0),2)</f>
        <v>Camada Drenante para Impermeabilização</v>
      </c>
      <c r="C4227" s="30"/>
      <c r="D4227" s="13" t="str">
        <f>TRIM(INDEX(Orçamentária!C:C,MATCH(Composições!A4227,Orçamentária!A:A,0),1))</f>
        <v>m2</v>
      </c>
      <c r="E4227" s="14"/>
      <c r="F4227" s="15" t="s">
        <v>2498</v>
      </c>
      <c r="G4227" s="40" t="s">
        <v>1079</v>
      </c>
      <c r="H4227" s="16"/>
      <c r="I4227" s="16" t="str">
        <f>IF(ISNUMBER(G4227),E4227*G4227,"")</f>
        <v/>
      </c>
      <c r="J4227" s="17"/>
      <c r="K4227" s="18"/>
      <c r="L4227" s="174">
        <v>0</v>
      </c>
    </row>
    <row r="4228" spans="1:12" hidden="1" x14ac:dyDescent="0.25">
      <c r="A4228" s="186"/>
      <c r="B4228" s="179"/>
      <c r="C4228" s="20"/>
      <c r="D4228" s="20"/>
      <c r="E4228" s="21"/>
      <c r="F4228" s="22"/>
      <c r="G4228" s="46" t="s">
        <v>1079</v>
      </c>
      <c r="H4228" s="20"/>
      <c r="I4228" s="46" t="str">
        <f>IF(ISNUMBER(G4228),E4228*G4228,"")</f>
        <v/>
      </c>
      <c r="J4228" s="69"/>
      <c r="K4228" s="70"/>
      <c r="L4228" s="174">
        <v>0</v>
      </c>
    </row>
    <row r="4229" spans="1:12" hidden="1" x14ac:dyDescent="0.25">
      <c r="A4229" s="186"/>
      <c r="B4229" s="179"/>
      <c r="C4229" s="25" t="s">
        <v>1367</v>
      </c>
      <c r="D4229" s="25" t="s">
        <v>1366</v>
      </c>
      <c r="E4229" s="26">
        <v>0.02</v>
      </c>
      <c r="F4229" s="27" t="s">
        <v>2499</v>
      </c>
      <c r="G4229" s="46">
        <v>14.325999999999999</v>
      </c>
      <c r="H4229" s="27" t="s">
        <v>39</v>
      </c>
      <c r="I4229" s="46">
        <f>IF(ISNUMBER(G4229),E4229*G4229,"")</f>
        <v>0.28652</v>
      </c>
      <c r="J4229" s="28">
        <f>SUM(I4229:I4231)</f>
        <v>6.0340200000000008</v>
      </c>
      <c r="K4229" s="29"/>
      <c r="L4229" s="174">
        <v>0</v>
      </c>
    </row>
    <row r="4230" spans="1:12" ht="25.5" hidden="1" x14ac:dyDescent="0.25">
      <c r="A4230" s="186"/>
      <c r="B4230" s="179"/>
      <c r="C4230" s="25" t="s">
        <v>2515</v>
      </c>
      <c r="D4230" s="25" t="s">
        <v>189</v>
      </c>
      <c r="E4230" s="26">
        <v>1.05</v>
      </c>
      <c r="F4230" s="27" t="s">
        <v>2499</v>
      </c>
      <c r="G4230" s="46" t="s">
        <v>1079</v>
      </c>
      <c r="H4230" s="27" t="s">
        <v>33</v>
      </c>
      <c r="I4230" s="46" t="str">
        <f>IF(ISNUMBER(G4230),E4230*G4230,"")</f>
        <v/>
      </c>
      <c r="J4230" s="69"/>
      <c r="K4230" s="70"/>
      <c r="L4230" s="174">
        <v>0</v>
      </c>
    </row>
    <row r="4231" spans="1:12" ht="25.5" hidden="1" x14ac:dyDescent="0.25">
      <c r="A4231" s="186"/>
      <c r="B4231" s="179"/>
      <c r="C4231" s="25" t="s">
        <v>2500</v>
      </c>
      <c r="D4231" s="25" t="s">
        <v>189</v>
      </c>
      <c r="E4231" s="26">
        <v>1.1000000000000001</v>
      </c>
      <c r="F4231" s="27" t="s">
        <v>2499</v>
      </c>
      <c r="G4231" s="46">
        <v>5.2249999999999996</v>
      </c>
      <c r="H4231" s="27" t="s">
        <v>2501</v>
      </c>
      <c r="I4231" s="46">
        <f>IF(ISNUMBER(G4231),E4231*G4231,"")</f>
        <v>5.7475000000000005</v>
      </c>
      <c r="J4231" s="69"/>
      <c r="K4231" s="70"/>
      <c r="L4231" s="174">
        <v>0</v>
      </c>
    </row>
    <row r="4232" spans="1:12" ht="15.75" hidden="1" thickBot="1" x14ac:dyDescent="0.3">
      <c r="A4232" s="187"/>
      <c r="B4232" s="183"/>
      <c r="C4232" s="47"/>
      <c r="D4232" s="47"/>
      <c r="E4232" s="60"/>
      <c r="F4232" s="61"/>
      <c r="G4232" s="73" t="s">
        <v>1079</v>
      </c>
      <c r="H4232" s="61"/>
      <c r="I4232" s="73" t="str">
        <f>IF(ISNUMBER(G4232),E4232*G4232,"")</f>
        <v/>
      </c>
      <c r="J4232" s="75"/>
      <c r="K4232" s="70"/>
      <c r="L4232" s="174">
        <v>0</v>
      </c>
    </row>
    <row r="4233" spans="1:12" ht="15.75" hidden="1" thickBot="1" x14ac:dyDescent="0.3">
      <c r="A4233" s="180" t="s">
        <v>2516</v>
      </c>
      <c r="B4233" s="178" t="str">
        <f>INDEX(Orçamentária!A:B,MATCH(Composições!A4233,Orçamentária!A:A,0),2)</f>
        <v>Calha em Chapa de Aço Galvanizado nº 24</v>
      </c>
      <c r="C4233" s="30"/>
      <c r="D4233" s="13" t="str">
        <f>TRIM(INDEX(Orçamentária!C:C,MATCH(Composições!A4233,Orçamentária!A:A,0),1))</f>
        <v>m2</v>
      </c>
      <c r="E4233" s="14"/>
      <c r="F4233" s="15" t="s">
        <v>2517</v>
      </c>
      <c r="G4233" s="40" t="s">
        <v>1079</v>
      </c>
      <c r="H4233" s="16"/>
      <c r="I4233" s="16" t="str">
        <f>IF(ISNUMBER(G4233),E4233*G4233,"")</f>
        <v/>
      </c>
      <c r="J4233" s="17"/>
      <c r="K4233" s="18"/>
      <c r="L4233" s="174">
        <v>0</v>
      </c>
    </row>
    <row r="4234" spans="1:12" hidden="1" x14ac:dyDescent="0.25">
      <c r="A4234" s="186"/>
      <c r="B4234" s="179"/>
      <c r="C4234" s="20"/>
      <c r="D4234" s="20"/>
      <c r="E4234" s="21"/>
      <c r="F4234" s="22"/>
      <c r="G4234" s="46" t="s">
        <v>1079</v>
      </c>
      <c r="H4234" s="20"/>
      <c r="I4234" s="46" t="str">
        <f>IF(ISNUMBER(G4234),E4234*G4234,"")</f>
        <v/>
      </c>
      <c r="J4234" s="69"/>
      <c r="K4234" s="70"/>
      <c r="L4234" s="174">
        <v>0</v>
      </c>
    </row>
    <row r="4235" spans="1:12" ht="25.5" hidden="1" x14ac:dyDescent="0.25">
      <c r="A4235" s="186"/>
      <c r="B4235" s="179"/>
      <c r="C4235" s="25" t="s">
        <v>1901</v>
      </c>
      <c r="D4235" s="36" t="s">
        <v>1924</v>
      </c>
      <c r="E4235" s="26">
        <v>0.161</v>
      </c>
      <c r="F4235" s="27" t="s">
        <v>2517</v>
      </c>
      <c r="G4235" s="46">
        <v>21.726500000000001</v>
      </c>
      <c r="H4235" s="27" t="s">
        <v>1904</v>
      </c>
      <c r="I4235" s="46">
        <f>IF(ISNUMBER(G4235),E4235*G4235,"")</f>
        <v>3.4979665000000004</v>
      </c>
      <c r="J4235" s="28">
        <f>SUM(I4235:I4243)</f>
        <v>94.656385</v>
      </c>
      <c r="K4235" s="29"/>
      <c r="L4235" s="174">
        <v>0</v>
      </c>
    </row>
    <row r="4236" spans="1:12" hidden="1" x14ac:dyDescent="0.25">
      <c r="A4236" s="186"/>
      <c r="B4236" s="179"/>
      <c r="C4236" s="25" t="s">
        <v>2518</v>
      </c>
      <c r="D4236" s="25" t="s">
        <v>1629</v>
      </c>
      <c r="E4236" s="26">
        <v>2.5000000000000001E-2</v>
      </c>
      <c r="F4236" s="27" t="s">
        <v>2517</v>
      </c>
      <c r="G4236" s="46">
        <v>9.4524999999999988</v>
      </c>
      <c r="H4236" s="27" t="s">
        <v>187</v>
      </c>
      <c r="I4236" s="46">
        <f>IF(ISNUMBER(G4236),E4236*G4236,"")</f>
        <v>0.23631249999999998</v>
      </c>
      <c r="J4236" s="69"/>
      <c r="K4236" s="70"/>
      <c r="L4236" s="174">
        <v>0</v>
      </c>
    </row>
    <row r="4237" spans="1:12" ht="25.5" hidden="1" x14ac:dyDescent="0.25">
      <c r="A4237" s="186"/>
      <c r="B4237" s="179"/>
      <c r="C4237" s="25" t="s">
        <v>2519</v>
      </c>
      <c r="D4237" s="25" t="s">
        <v>1629</v>
      </c>
      <c r="E4237" s="26">
        <v>4.8999999999999998E-3</v>
      </c>
      <c r="F4237" s="27" t="s">
        <v>2517</v>
      </c>
      <c r="G4237" s="46">
        <v>44.592999999999996</v>
      </c>
      <c r="H4237" s="27" t="s">
        <v>2520</v>
      </c>
      <c r="I4237" s="46">
        <f>IF(ISNUMBER(G4237),E4237*G4237,"")</f>
        <v>0.21850569999999997</v>
      </c>
      <c r="J4237" s="69"/>
      <c r="K4237" s="70"/>
      <c r="L4237" s="174">
        <v>0</v>
      </c>
    </row>
    <row r="4238" spans="1:12" hidden="1" x14ac:dyDescent="0.25">
      <c r="A4238" s="186"/>
      <c r="B4238" s="179"/>
      <c r="C4238" s="25" t="s">
        <v>2521</v>
      </c>
      <c r="D4238" s="25" t="s">
        <v>1629</v>
      </c>
      <c r="E4238" s="26">
        <v>0.18</v>
      </c>
      <c r="F4238" s="27" t="s">
        <v>2517</v>
      </c>
      <c r="G4238" s="46">
        <v>81.500500000000002</v>
      </c>
      <c r="H4238" s="27" t="s">
        <v>2522</v>
      </c>
      <c r="I4238" s="46">
        <f>IF(ISNUMBER(G4238),E4238*G4238,"")</f>
        <v>14.67009</v>
      </c>
      <c r="J4238" s="69"/>
      <c r="K4238" s="70"/>
      <c r="L4238" s="174">
        <v>0</v>
      </c>
    </row>
    <row r="4239" spans="1:12" ht="25.5" hidden="1" x14ac:dyDescent="0.25">
      <c r="A4239" s="186"/>
      <c r="B4239" s="179"/>
      <c r="C4239" s="25" t="s">
        <v>2523</v>
      </c>
      <c r="D4239" s="25" t="s">
        <v>988</v>
      </c>
      <c r="E4239" s="26">
        <v>1.05</v>
      </c>
      <c r="F4239" s="27" t="s">
        <v>2517</v>
      </c>
      <c r="G4239" s="46">
        <v>52.914999999999999</v>
      </c>
      <c r="H4239" s="27" t="s">
        <v>2524</v>
      </c>
      <c r="I4239" s="46">
        <f>IF(ISNUMBER(G4239),E4239*G4239,"")</f>
        <v>55.560749999999999</v>
      </c>
      <c r="J4239" s="69"/>
      <c r="K4239" s="70"/>
      <c r="L4239" s="174">
        <v>0</v>
      </c>
    </row>
    <row r="4240" spans="1:12" hidden="1" x14ac:dyDescent="0.25">
      <c r="A4240" s="186"/>
      <c r="B4240" s="179"/>
      <c r="C4240" s="25" t="s">
        <v>1367</v>
      </c>
      <c r="D4240" s="25" t="s">
        <v>1366</v>
      </c>
      <c r="E4240" s="26">
        <v>0.63300000000000001</v>
      </c>
      <c r="F4240" s="27" t="s">
        <v>2517</v>
      </c>
      <c r="G4240" s="46">
        <v>14.325999999999999</v>
      </c>
      <c r="H4240" s="27" t="s">
        <v>39</v>
      </c>
      <c r="I4240" s="46">
        <f>IF(ISNUMBER(G4240),E4240*G4240,"")</f>
        <v>9.0683579999999999</v>
      </c>
      <c r="J4240" s="69"/>
      <c r="K4240" s="70"/>
      <c r="L4240" s="174">
        <v>0</v>
      </c>
    </row>
    <row r="4241" spans="1:12" hidden="1" x14ac:dyDescent="0.25">
      <c r="A4241" s="186"/>
      <c r="B4241" s="179"/>
      <c r="C4241" s="25" t="s">
        <v>2407</v>
      </c>
      <c r="D4241" s="25" t="s">
        <v>1366</v>
      </c>
      <c r="E4241" s="26">
        <v>0.53900000000000003</v>
      </c>
      <c r="F4241" s="27" t="s">
        <v>2517</v>
      </c>
      <c r="G4241" s="46">
        <v>20.244499999999999</v>
      </c>
      <c r="H4241" s="27" t="s">
        <v>2408</v>
      </c>
      <c r="I4241" s="46">
        <f>IF(ISNUMBER(G4241),E4241*G4241,"")</f>
        <v>10.911785500000001</v>
      </c>
      <c r="J4241" s="69"/>
      <c r="K4241" s="70"/>
      <c r="L4241" s="174">
        <v>0</v>
      </c>
    </row>
    <row r="4242" spans="1:12" ht="25.5" hidden="1" x14ac:dyDescent="0.25">
      <c r="A4242" s="186"/>
      <c r="B4242" s="179"/>
      <c r="C4242" s="25" t="s">
        <v>2409</v>
      </c>
      <c r="D4242" s="25" t="s">
        <v>1691</v>
      </c>
      <c r="E4242" s="26">
        <v>1.32E-2</v>
      </c>
      <c r="F4242" s="27" t="s">
        <v>2517</v>
      </c>
      <c r="G4242" s="46">
        <v>16.035999999999998</v>
      </c>
      <c r="H4242" s="27" t="s">
        <v>2410</v>
      </c>
      <c r="I4242" s="46">
        <f>IF(ISNUMBER(G4242),E4242*G4242,"")</f>
        <v>0.21167519999999998</v>
      </c>
      <c r="J4242" s="69"/>
      <c r="K4242" s="70"/>
      <c r="L4242" s="174">
        <v>0</v>
      </c>
    </row>
    <row r="4243" spans="1:12" ht="25.5" hidden="1" x14ac:dyDescent="0.25">
      <c r="A4243" s="186"/>
      <c r="B4243" s="179"/>
      <c r="C4243" s="25" t="s">
        <v>2411</v>
      </c>
      <c r="D4243" s="25" t="s">
        <v>1694</v>
      </c>
      <c r="E4243" s="26">
        <v>1.83E-2</v>
      </c>
      <c r="F4243" s="27" t="s">
        <v>2517</v>
      </c>
      <c r="G4243" s="46">
        <v>15.351999999999999</v>
      </c>
      <c r="H4243" s="27" t="s">
        <v>2412</v>
      </c>
      <c r="I4243" s="46">
        <f>IF(ISNUMBER(G4243),E4243*G4243,"")</f>
        <v>0.28094159999999996</v>
      </c>
      <c r="J4243" s="69"/>
      <c r="K4243" s="70"/>
      <c r="L4243" s="174">
        <v>0</v>
      </c>
    </row>
    <row r="4244" spans="1:12" ht="15.75" hidden="1" thickBot="1" x14ac:dyDescent="0.3">
      <c r="A4244" s="187"/>
      <c r="B4244" s="183"/>
      <c r="C4244" s="47"/>
      <c r="D4244" s="47"/>
      <c r="E4244" s="60"/>
      <c r="F4244" s="61"/>
      <c r="G4244" s="73" t="s">
        <v>1079</v>
      </c>
      <c r="H4244" s="61"/>
      <c r="I4244" s="73" t="str">
        <f>IF(ISNUMBER(G4244),E4244*G4244,"")</f>
        <v/>
      </c>
      <c r="J4244" s="75"/>
      <c r="K4244" s="70"/>
      <c r="L4244" s="174">
        <v>0</v>
      </c>
    </row>
    <row r="4245" spans="1:12" ht="15.75" hidden="1" thickBot="1" x14ac:dyDescent="0.3">
      <c r="A4245" s="180" t="s">
        <v>2525</v>
      </c>
      <c r="B4245" s="178" t="str">
        <f>INDEX(Orçamentária!A:B,MATCH(Composições!A4245,Orçamentária!A:A,0),2)</f>
        <v>Rufo em Chapa de Aço Galvanizado nº 24</v>
      </c>
      <c r="C4245" s="30"/>
      <c r="D4245" s="13" t="str">
        <f>TRIM(INDEX(Orçamentária!C:C,MATCH(Composições!A4245,Orçamentária!A:A,0),1))</f>
        <v>m2</v>
      </c>
      <c r="E4245" s="14"/>
      <c r="F4245" s="15" t="s">
        <v>2526</v>
      </c>
      <c r="G4245" s="40" t="s">
        <v>1079</v>
      </c>
      <c r="H4245" s="16"/>
      <c r="I4245" s="16" t="str">
        <f>IF(ISNUMBER(G4245),E4245*G4245,"")</f>
        <v/>
      </c>
      <c r="J4245" s="17"/>
      <c r="K4245" s="18"/>
      <c r="L4245" s="174">
        <v>0</v>
      </c>
    </row>
    <row r="4246" spans="1:12" hidden="1" x14ac:dyDescent="0.25">
      <c r="A4246" s="186"/>
      <c r="B4246" s="179"/>
      <c r="C4246" s="20"/>
      <c r="D4246" s="20"/>
      <c r="E4246" s="21"/>
      <c r="F4246" s="22"/>
      <c r="G4246" s="46" t="s">
        <v>1079</v>
      </c>
      <c r="H4246" s="20"/>
      <c r="I4246" s="46" t="str">
        <f>IF(ISNUMBER(G4246),E4246*G4246,"")</f>
        <v/>
      </c>
      <c r="J4246" s="69"/>
      <c r="K4246" s="70"/>
      <c r="L4246" s="174">
        <v>0</v>
      </c>
    </row>
    <row r="4247" spans="1:12" ht="25.5" hidden="1" x14ac:dyDescent="0.25">
      <c r="A4247" s="186"/>
      <c r="B4247" s="179"/>
      <c r="C4247" s="25" t="s">
        <v>1901</v>
      </c>
      <c r="D4247" s="36" t="s">
        <v>1924</v>
      </c>
      <c r="E4247" s="26">
        <f>0.198*2</f>
        <v>0.39600000000000002</v>
      </c>
      <c r="F4247" s="27" t="s">
        <v>2527</v>
      </c>
      <c r="G4247" s="46">
        <v>21.726500000000001</v>
      </c>
      <c r="H4247" s="27" t="s">
        <v>1904</v>
      </c>
      <c r="I4247" s="46">
        <f>IF(ISNUMBER(G4247),E4247*G4247,"")</f>
        <v>8.6036940000000008</v>
      </c>
      <c r="J4247" s="28">
        <f>SUM(I4247:I4255)</f>
        <v>84.926675000000017</v>
      </c>
      <c r="K4247" s="29"/>
      <c r="L4247" s="174">
        <v>0</v>
      </c>
    </row>
    <row r="4248" spans="1:12" hidden="1" x14ac:dyDescent="0.25">
      <c r="A4248" s="186"/>
      <c r="B4248" s="179"/>
      <c r="C4248" s="25" t="s">
        <v>2518</v>
      </c>
      <c r="D4248" s="25" t="s">
        <v>1629</v>
      </c>
      <c r="E4248" s="26">
        <f>0.006*2</f>
        <v>1.2E-2</v>
      </c>
      <c r="F4248" s="27" t="s">
        <v>2527</v>
      </c>
      <c r="G4248" s="46">
        <v>9.4524999999999988</v>
      </c>
      <c r="H4248" s="27" t="s">
        <v>187</v>
      </c>
      <c r="I4248" s="46">
        <f>IF(ISNUMBER(G4248),E4248*G4248,"")</f>
        <v>0.11342999999999999</v>
      </c>
      <c r="J4248" s="69"/>
      <c r="K4248" s="70"/>
      <c r="L4248" s="174">
        <v>0</v>
      </c>
    </row>
    <row r="4249" spans="1:12" ht="25.5" hidden="1" x14ac:dyDescent="0.25">
      <c r="A4249" s="186"/>
      <c r="B4249" s="179"/>
      <c r="C4249" s="25" t="s">
        <v>2519</v>
      </c>
      <c r="D4249" s="25" t="s">
        <v>1629</v>
      </c>
      <c r="E4249" s="26">
        <f>0.0012*2</f>
        <v>2.3999999999999998E-3</v>
      </c>
      <c r="F4249" s="27" t="s">
        <v>2527</v>
      </c>
      <c r="G4249" s="46">
        <v>44.592999999999996</v>
      </c>
      <c r="H4249" s="27" t="s">
        <v>2520</v>
      </c>
      <c r="I4249" s="46">
        <f>IF(ISNUMBER(G4249),E4249*G4249,"")</f>
        <v>0.10702319999999999</v>
      </c>
      <c r="J4249" s="69"/>
      <c r="K4249" s="70"/>
      <c r="L4249" s="174">
        <v>0</v>
      </c>
    </row>
    <row r="4250" spans="1:12" hidden="1" x14ac:dyDescent="0.25">
      <c r="A4250" s="186"/>
      <c r="B4250" s="179"/>
      <c r="C4250" s="25" t="s">
        <v>2521</v>
      </c>
      <c r="D4250" s="25" t="s">
        <v>1629</v>
      </c>
      <c r="E4250" s="26">
        <f>0.045*2</f>
        <v>0.09</v>
      </c>
      <c r="F4250" s="27" t="s">
        <v>2527</v>
      </c>
      <c r="G4250" s="46">
        <v>81.500500000000002</v>
      </c>
      <c r="H4250" s="27" t="s">
        <v>2522</v>
      </c>
      <c r="I4250" s="46">
        <f>IF(ISNUMBER(G4250),E4250*G4250,"")</f>
        <v>7.335045</v>
      </c>
      <c r="J4250" s="69"/>
      <c r="K4250" s="70"/>
      <c r="L4250" s="174">
        <v>0</v>
      </c>
    </row>
    <row r="4251" spans="1:12" ht="25.5" hidden="1" x14ac:dyDescent="0.25">
      <c r="A4251" s="186"/>
      <c r="B4251" s="179"/>
      <c r="C4251" s="25" t="s">
        <v>2528</v>
      </c>
      <c r="D4251" s="25" t="s">
        <v>988</v>
      </c>
      <c r="E4251" s="26">
        <f>4*1.05</f>
        <v>4.2</v>
      </c>
      <c r="F4251" s="27" t="s">
        <v>2527</v>
      </c>
      <c r="G4251" s="46">
        <v>15.01</v>
      </c>
      <c r="H4251" s="27" t="s">
        <v>2529</v>
      </c>
      <c r="I4251" s="46">
        <f>IF(ISNUMBER(G4251),E4251*G4251,"")</f>
        <v>63.042000000000002</v>
      </c>
      <c r="J4251" s="69"/>
      <c r="K4251" s="70"/>
      <c r="L4251" s="174">
        <v>0</v>
      </c>
    </row>
    <row r="4252" spans="1:12" hidden="1" x14ac:dyDescent="0.25">
      <c r="A4252" s="186"/>
      <c r="B4252" s="179"/>
      <c r="C4252" s="25" t="s">
        <v>1367</v>
      </c>
      <c r="D4252" s="25" t="s">
        <v>1366</v>
      </c>
      <c r="E4252" s="26">
        <v>0.20699999999999999</v>
      </c>
      <c r="F4252" s="27" t="s">
        <v>2527</v>
      </c>
      <c r="G4252" s="46">
        <v>14.325999999999999</v>
      </c>
      <c r="H4252" s="27" t="s">
        <v>39</v>
      </c>
      <c r="I4252" s="46">
        <f>IF(ISNUMBER(G4252),E4252*G4252,"")</f>
        <v>2.9654819999999997</v>
      </c>
      <c r="J4252" s="69"/>
      <c r="K4252" s="70"/>
      <c r="L4252" s="174">
        <v>0</v>
      </c>
    </row>
    <row r="4253" spans="1:12" hidden="1" x14ac:dyDescent="0.25">
      <c r="A4253" s="186"/>
      <c r="B4253" s="179"/>
      <c r="C4253" s="25" t="s">
        <v>2407</v>
      </c>
      <c r="D4253" s="25" t="s">
        <v>1366</v>
      </c>
      <c r="E4253" s="26">
        <v>0.112</v>
      </c>
      <c r="F4253" s="27" t="s">
        <v>2527</v>
      </c>
      <c r="G4253" s="46">
        <v>20.244499999999999</v>
      </c>
      <c r="H4253" s="27" t="s">
        <v>2408</v>
      </c>
      <c r="I4253" s="46">
        <f>IF(ISNUMBER(G4253),E4253*G4253,"")</f>
        <v>2.2673839999999998</v>
      </c>
      <c r="J4253" s="69"/>
      <c r="K4253" s="70"/>
      <c r="L4253" s="174">
        <v>0</v>
      </c>
    </row>
    <row r="4254" spans="1:12" ht="25.5" hidden="1" x14ac:dyDescent="0.25">
      <c r="A4254" s="186"/>
      <c r="B4254" s="179"/>
      <c r="C4254" s="25" t="s">
        <v>2409</v>
      </c>
      <c r="D4254" s="25" t="s">
        <v>1691</v>
      </c>
      <c r="E4254" s="26">
        <v>1.32E-2</v>
      </c>
      <c r="F4254" s="27" t="s">
        <v>2527</v>
      </c>
      <c r="G4254" s="46">
        <v>16.035999999999998</v>
      </c>
      <c r="H4254" s="27" t="s">
        <v>2410</v>
      </c>
      <c r="I4254" s="46">
        <f>IF(ISNUMBER(G4254),E4254*G4254,"")</f>
        <v>0.21167519999999998</v>
      </c>
      <c r="J4254" s="69"/>
      <c r="K4254" s="70"/>
      <c r="L4254" s="174">
        <v>0</v>
      </c>
    </row>
    <row r="4255" spans="1:12" ht="25.5" hidden="1" x14ac:dyDescent="0.25">
      <c r="A4255" s="186"/>
      <c r="B4255" s="179"/>
      <c r="C4255" s="25" t="s">
        <v>2411</v>
      </c>
      <c r="D4255" s="25" t="s">
        <v>1694</v>
      </c>
      <c r="E4255" s="26">
        <v>1.83E-2</v>
      </c>
      <c r="F4255" s="27" t="s">
        <v>2527</v>
      </c>
      <c r="G4255" s="46">
        <v>15.351999999999999</v>
      </c>
      <c r="H4255" s="27" t="s">
        <v>2412</v>
      </c>
      <c r="I4255" s="46">
        <f>IF(ISNUMBER(G4255),E4255*G4255,"")</f>
        <v>0.28094159999999996</v>
      </c>
      <c r="J4255" s="69"/>
      <c r="K4255" s="70"/>
      <c r="L4255" s="174">
        <v>0</v>
      </c>
    </row>
    <row r="4256" spans="1:12" ht="15.75" hidden="1" thickBot="1" x14ac:dyDescent="0.3">
      <c r="A4256" s="187"/>
      <c r="B4256" s="183"/>
      <c r="C4256" s="47"/>
      <c r="D4256" s="47"/>
      <c r="E4256" s="60"/>
      <c r="F4256" s="61"/>
      <c r="G4256" s="73" t="s">
        <v>1079</v>
      </c>
      <c r="H4256" s="61"/>
      <c r="I4256" s="73" t="str">
        <f>IF(ISNUMBER(G4256),E4256*G4256,"")</f>
        <v/>
      </c>
      <c r="J4256" s="75"/>
      <c r="K4256" s="70"/>
      <c r="L4256" s="174">
        <v>0</v>
      </c>
    </row>
    <row r="4257" spans="1:12" ht="15.75" hidden="1" thickBot="1" x14ac:dyDescent="0.3">
      <c r="A4257" s="180" t="s">
        <v>2530</v>
      </c>
      <c r="B4257" s="178" t="str">
        <f>INDEX(Orçamentária!A:B,MATCH(Composições!A4257,Orçamentária!A:A,0),2)</f>
        <v>Chapim Pré-Moldado de Concreto Aparente</v>
      </c>
      <c r="C4257" s="30"/>
      <c r="D4257" s="13" t="str">
        <f>TRIM(INDEX(Orçamentária!C:C,MATCH(Composições!A4257,Orçamentária!A:A,0),1))</f>
        <v>m</v>
      </c>
      <c r="E4257" s="14"/>
      <c r="F4257" s="15" t="s">
        <v>2531</v>
      </c>
      <c r="G4257" s="40" t="s">
        <v>1079</v>
      </c>
      <c r="H4257" s="16"/>
      <c r="I4257" s="16" t="str">
        <f>IF(ISNUMBER(G4257),E4257*G4257,"")</f>
        <v/>
      </c>
      <c r="J4257" s="17"/>
      <c r="K4257" s="18"/>
      <c r="L4257" s="174">
        <v>0</v>
      </c>
    </row>
    <row r="4258" spans="1:12" hidden="1" x14ac:dyDescent="0.25">
      <c r="A4258" s="186"/>
      <c r="B4258" s="179"/>
      <c r="C4258" s="20"/>
      <c r="D4258" s="20"/>
      <c r="E4258" s="21"/>
      <c r="F4258" s="22"/>
      <c r="G4258" s="46" t="s">
        <v>1079</v>
      </c>
      <c r="H4258" s="20"/>
      <c r="I4258" s="46" t="str">
        <f>IF(ISNUMBER(G4258),E4258*G4258,"")</f>
        <v/>
      </c>
      <c r="J4258" s="69"/>
      <c r="K4258" s="70"/>
      <c r="L4258" s="174">
        <v>0</v>
      </c>
    </row>
    <row r="4259" spans="1:12" ht="25.5" hidden="1" x14ac:dyDescent="0.25">
      <c r="A4259" s="186"/>
      <c r="B4259" s="179"/>
      <c r="C4259" s="25" t="s">
        <v>1016</v>
      </c>
      <c r="D4259" s="25" t="s">
        <v>1629</v>
      </c>
      <c r="E4259" s="26">
        <v>0.02</v>
      </c>
      <c r="F4259" s="27" t="s">
        <v>2532</v>
      </c>
      <c r="G4259" s="46">
        <v>12.426</v>
      </c>
      <c r="H4259" s="27" t="s">
        <v>1017</v>
      </c>
      <c r="I4259" s="46">
        <f>IF(ISNUMBER(G4259),E4259*G4259,"")</f>
        <v>0.24852000000000002</v>
      </c>
      <c r="J4259" s="28">
        <f>SUM(I4259:I4272)</f>
        <v>78.095604050000006</v>
      </c>
      <c r="K4259" s="29"/>
      <c r="L4259" s="174">
        <v>0</v>
      </c>
    </row>
    <row r="4260" spans="1:12" ht="25.5" hidden="1" x14ac:dyDescent="0.25">
      <c r="A4260" s="186"/>
      <c r="B4260" s="179"/>
      <c r="C4260" s="25" t="s">
        <v>2369</v>
      </c>
      <c r="D4260" s="25" t="s">
        <v>228</v>
      </c>
      <c r="E4260" s="26">
        <v>0.04</v>
      </c>
      <c r="F4260" s="27" t="s">
        <v>2532</v>
      </c>
      <c r="G4260" s="46">
        <v>100.8425</v>
      </c>
      <c r="H4260" s="27" t="s">
        <v>2370</v>
      </c>
      <c r="I4260" s="46">
        <f>IF(ISNUMBER(G4260),E4260*G4260,"")</f>
        <v>4.0337000000000005</v>
      </c>
      <c r="J4260" s="69"/>
      <c r="K4260" s="70"/>
      <c r="L4260" s="174">
        <v>0</v>
      </c>
    </row>
    <row r="4261" spans="1:12" hidden="1" x14ac:dyDescent="0.25">
      <c r="A4261" s="186"/>
      <c r="B4261" s="179"/>
      <c r="C4261" s="25" t="s">
        <v>1634</v>
      </c>
      <c r="D4261" s="25" t="s">
        <v>1366</v>
      </c>
      <c r="E4261" s="26">
        <v>0.8</v>
      </c>
      <c r="F4261" s="27" t="s">
        <v>2532</v>
      </c>
      <c r="G4261" s="46">
        <v>19.056999999999999</v>
      </c>
      <c r="H4261" s="27" t="s">
        <v>1635</v>
      </c>
      <c r="I4261" s="46">
        <f>IF(ISNUMBER(G4261),E4261*G4261,"")</f>
        <v>15.2456</v>
      </c>
      <c r="J4261" s="69"/>
      <c r="K4261" s="70"/>
      <c r="L4261" s="174">
        <v>0</v>
      </c>
    </row>
    <row r="4262" spans="1:12" ht="25.5" hidden="1" x14ac:dyDescent="0.25">
      <c r="A4262" s="186"/>
      <c r="B4262" s="179"/>
      <c r="C4262" s="25" t="s">
        <v>2533</v>
      </c>
      <c r="D4262" s="25" t="s">
        <v>1629</v>
      </c>
      <c r="E4262" s="26">
        <v>1.35</v>
      </c>
      <c r="F4262" s="27" t="s">
        <v>2532</v>
      </c>
      <c r="G4262" s="46">
        <v>5.1680000000000001</v>
      </c>
      <c r="H4262" s="27" t="s">
        <v>2534</v>
      </c>
      <c r="I4262" s="46">
        <f>IF(ISNUMBER(G4262),E4262*G4262,"")</f>
        <v>6.9768000000000008</v>
      </c>
      <c r="J4262" s="69"/>
      <c r="K4262" s="70"/>
      <c r="L4262" s="174">
        <v>0</v>
      </c>
    </row>
    <row r="4263" spans="1:12" hidden="1" x14ac:dyDescent="0.25">
      <c r="A4263" s="186"/>
      <c r="B4263" s="179"/>
      <c r="C4263" s="25" t="s">
        <v>153</v>
      </c>
      <c r="D4263" s="25" t="s">
        <v>1366</v>
      </c>
      <c r="E4263" s="26">
        <v>0.7</v>
      </c>
      <c r="F4263" s="27" t="s">
        <v>2532</v>
      </c>
      <c r="G4263" s="46">
        <v>19.018999999999998</v>
      </c>
      <c r="H4263" s="27" t="s">
        <v>155</v>
      </c>
      <c r="I4263" s="46">
        <f>IF(ISNUMBER(G4263),E4263*G4263,"")</f>
        <v>13.313299999999998</v>
      </c>
      <c r="J4263" s="69"/>
      <c r="K4263" s="70"/>
      <c r="L4263" s="174">
        <v>0</v>
      </c>
    </row>
    <row r="4264" spans="1:12" hidden="1" x14ac:dyDescent="0.25">
      <c r="A4264" s="186"/>
      <c r="B4264" s="179"/>
      <c r="C4264" s="25" t="s">
        <v>2535</v>
      </c>
      <c r="D4264" s="25" t="s">
        <v>189</v>
      </c>
      <c r="E4264" s="26">
        <v>1</v>
      </c>
      <c r="F4264" s="27" t="s">
        <v>2532</v>
      </c>
      <c r="G4264" s="46">
        <v>0</v>
      </c>
      <c r="H4264" s="27" t="s">
        <v>2536</v>
      </c>
      <c r="I4264" s="46">
        <f>IF(ISNUMBER(G4264),E4264*G4264,"")</f>
        <v>0</v>
      </c>
      <c r="J4264" s="69"/>
      <c r="K4264" s="70"/>
      <c r="L4264" s="174">
        <v>0</v>
      </c>
    </row>
    <row r="4265" spans="1:12" ht="38.25" hidden="1" x14ac:dyDescent="0.25">
      <c r="A4265" s="186"/>
      <c r="B4265" s="179"/>
      <c r="C4265" s="25" t="s">
        <v>2537</v>
      </c>
      <c r="D4265" s="25" t="s">
        <v>1691</v>
      </c>
      <c r="E4265" s="26">
        <v>0.02</v>
      </c>
      <c r="F4265" s="27" t="s">
        <v>2532</v>
      </c>
      <c r="G4265" s="46">
        <v>3.3344999999999998</v>
      </c>
      <c r="H4265" s="27" t="s">
        <v>2538</v>
      </c>
      <c r="I4265" s="46">
        <f>IF(ISNUMBER(G4265),E4265*G4265,"")</f>
        <v>6.6689999999999999E-2</v>
      </c>
      <c r="J4265" s="69"/>
      <c r="K4265" s="70"/>
      <c r="L4265" s="174">
        <v>0</v>
      </c>
    </row>
    <row r="4266" spans="1:12" hidden="1" x14ac:dyDescent="0.25">
      <c r="A4266" s="186"/>
      <c r="B4266" s="179"/>
      <c r="C4266" s="25" t="s">
        <v>1448</v>
      </c>
      <c r="D4266" s="25" t="s">
        <v>1629</v>
      </c>
      <c r="E4266" s="26">
        <v>17.36</v>
      </c>
      <c r="F4266" s="27" t="s">
        <v>2532</v>
      </c>
      <c r="G4266" s="46">
        <v>0.38</v>
      </c>
      <c r="H4266" s="27" t="s">
        <v>242</v>
      </c>
      <c r="I4266" s="46">
        <f>IF(ISNUMBER(G4266),E4266*G4266,"")</f>
        <v>6.5968</v>
      </c>
      <c r="J4266" s="69"/>
      <c r="K4266" s="70"/>
      <c r="L4266" s="174">
        <v>0</v>
      </c>
    </row>
    <row r="4267" spans="1:12" ht="25.5" hidden="1" x14ac:dyDescent="0.25">
      <c r="A4267" s="186"/>
      <c r="B4267" s="179"/>
      <c r="C4267" s="25" t="s">
        <v>1461</v>
      </c>
      <c r="D4267" s="25" t="s">
        <v>228</v>
      </c>
      <c r="E4267" s="26">
        <v>0.09</v>
      </c>
      <c r="F4267" s="27" t="s">
        <v>2532</v>
      </c>
      <c r="G4267" s="46">
        <v>79.268000000000001</v>
      </c>
      <c r="H4267" s="27" t="s">
        <v>1462</v>
      </c>
      <c r="I4267" s="46">
        <f>IF(ISNUMBER(G4267),E4267*G4267,"")</f>
        <v>7.1341200000000002</v>
      </c>
      <c r="J4267" s="69"/>
      <c r="K4267" s="70"/>
      <c r="L4267" s="174">
        <v>0</v>
      </c>
    </row>
    <row r="4268" spans="1:12" hidden="1" x14ac:dyDescent="0.25">
      <c r="A4268" s="186"/>
      <c r="B4268" s="179"/>
      <c r="C4268" s="25" t="s">
        <v>2539</v>
      </c>
      <c r="D4268" s="25" t="s">
        <v>75</v>
      </c>
      <c r="E4268" s="26">
        <v>0.02</v>
      </c>
      <c r="F4268" s="27" t="s">
        <v>2532</v>
      </c>
      <c r="G4268" s="46">
        <v>9.613999999999999</v>
      </c>
      <c r="H4268" s="27" t="s">
        <v>2540</v>
      </c>
      <c r="I4268" s="46">
        <f>IF(ISNUMBER(G4268),E4268*G4268,"")</f>
        <v>0.19227999999999998</v>
      </c>
      <c r="J4268" s="69"/>
      <c r="K4268" s="70"/>
      <c r="L4268" s="174">
        <v>0</v>
      </c>
    </row>
    <row r="4269" spans="1:12" hidden="1" x14ac:dyDescent="0.25">
      <c r="A4269" s="186"/>
      <c r="B4269" s="179"/>
      <c r="C4269" s="25" t="s">
        <v>1389</v>
      </c>
      <c r="D4269" s="25" t="s">
        <v>21</v>
      </c>
      <c r="E4269" s="26">
        <v>0.3</v>
      </c>
      <c r="F4269" s="27" t="s">
        <v>2532</v>
      </c>
      <c r="G4269" s="46">
        <v>19.142499999999998</v>
      </c>
      <c r="H4269" s="27" t="s">
        <v>37</v>
      </c>
      <c r="I4269" s="46">
        <f>IF(ISNUMBER(G4269),E4269*G4269,"")</f>
        <v>5.7427499999999991</v>
      </c>
      <c r="J4269" s="69"/>
      <c r="K4269" s="70"/>
      <c r="L4269" s="174">
        <v>0</v>
      </c>
    </row>
    <row r="4270" spans="1:12" hidden="1" x14ac:dyDescent="0.25">
      <c r="A4270" s="186"/>
      <c r="B4270" s="179"/>
      <c r="C4270" s="25" t="s">
        <v>1367</v>
      </c>
      <c r="D4270" s="25" t="s">
        <v>1366</v>
      </c>
      <c r="E4270" s="26">
        <v>1.1000000000000001</v>
      </c>
      <c r="F4270" s="27" t="s">
        <v>2532</v>
      </c>
      <c r="G4270" s="46">
        <v>14.325999999999999</v>
      </c>
      <c r="H4270" s="27" t="s">
        <v>39</v>
      </c>
      <c r="I4270" s="46">
        <f>IF(ISNUMBER(G4270),E4270*G4270,"")</f>
        <v>15.758599999999999</v>
      </c>
      <c r="J4270" s="69"/>
      <c r="K4270" s="70"/>
      <c r="L4270" s="174">
        <v>0</v>
      </c>
    </row>
    <row r="4271" spans="1:12" ht="38.25" hidden="1" x14ac:dyDescent="0.25">
      <c r="A4271" s="186"/>
      <c r="B4271" s="179"/>
      <c r="C4271" s="25" t="s">
        <v>251</v>
      </c>
      <c r="D4271" s="25" t="s">
        <v>228</v>
      </c>
      <c r="E4271" s="26">
        <f>1*(E4260+E4267)</f>
        <v>0.13</v>
      </c>
      <c r="F4271" s="27" t="s">
        <v>17</v>
      </c>
      <c r="G4271" s="23">
        <v>0.72471700000000006</v>
      </c>
      <c r="H4271" s="27" t="s">
        <v>253</v>
      </c>
      <c r="I4271" s="23">
        <f>IF(ISNUMBER(G4271),E4271*G4271,"")</f>
        <v>9.4213210000000006E-2</v>
      </c>
      <c r="J4271" s="24"/>
      <c r="K4271" s="19"/>
      <c r="L4271" s="174">
        <v>0</v>
      </c>
    </row>
    <row r="4272" spans="1:12" ht="38.25" hidden="1" x14ac:dyDescent="0.25">
      <c r="A4272" s="186"/>
      <c r="B4272" s="179"/>
      <c r="C4272" s="25" t="s">
        <v>254</v>
      </c>
      <c r="D4272" s="25" t="s">
        <v>255</v>
      </c>
      <c r="E4272" s="26">
        <f>(E4260+E4267)*20</f>
        <v>2.6</v>
      </c>
      <c r="F4272" s="27" t="s">
        <v>17</v>
      </c>
      <c r="G4272" s="46">
        <v>1.0354733999999999</v>
      </c>
      <c r="H4272" s="27" t="s">
        <v>256</v>
      </c>
      <c r="I4272" s="46">
        <f>IF(ISNUMBER(G4272),E4272*G4272,"")</f>
        <v>2.6922308399999997</v>
      </c>
      <c r="J4272" s="69"/>
      <c r="K4272" s="70"/>
      <c r="L4272" s="174">
        <v>0</v>
      </c>
    </row>
    <row r="4273" spans="1:12" hidden="1" x14ac:dyDescent="0.25">
      <c r="A4273" s="186"/>
      <c r="B4273" s="179"/>
      <c r="C4273" s="25"/>
      <c r="D4273" s="25"/>
      <c r="E4273" s="26"/>
      <c r="F4273" s="27"/>
      <c r="G4273" s="46" t="s">
        <v>1079</v>
      </c>
      <c r="H4273" s="27"/>
      <c r="I4273" s="46" t="str">
        <f>IF(ISNUMBER(G4273),E4273*G4273,"")</f>
        <v/>
      </c>
      <c r="J4273" s="69"/>
      <c r="K4273" s="70"/>
      <c r="L4273" s="174">
        <v>0</v>
      </c>
    </row>
    <row r="4274" spans="1:12" ht="25.5" hidden="1" x14ac:dyDescent="0.25">
      <c r="A4274" s="186"/>
      <c r="B4274" s="179"/>
      <c r="C4274" s="39" t="s">
        <v>2344</v>
      </c>
      <c r="D4274" s="25"/>
      <c r="E4274" s="26"/>
      <c r="F4274" s="27"/>
      <c r="G4274" s="46" t="s">
        <v>1079</v>
      </c>
      <c r="H4274" s="27"/>
      <c r="I4274" s="46" t="str">
        <f>IF(ISNUMBER(G4274),E4274*G4274,"")</f>
        <v/>
      </c>
      <c r="J4274" s="69"/>
      <c r="K4274" s="70"/>
      <c r="L4274" s="174">
        <v>0</v>
      </c>
    </row>
    <row r="4275" spans="1:12" ht="15.75" hidden="1" thickBot="1" x14ac:dyDescent="0.3">
      <c r="A4275" s="187"/>
      <c r="B4275" s="183"/>
      <c r="C4275" s="47"/>
      <c r="D4275" s="47"/>
      <c r="E4275" s="60"/>
      <c r="F4275" s="61"/>
      <c r="G4275" s="73" t="s">
        <v>1079</v>
      </c>
      <c r="H4275" s="61"/>
      <c r="I4275" s="73" t="str">
        <f>IF(ISNUMBER(G4275),E4275*G4275,"")</f>
        <v/>
      </c>
      <c r="J4275" s="75"/>
      <c r="K4275" s="70"/>
      <c r="L4275" s="174">
        <v>0</v>
      </c>
    </row>
    <row r="4276" spans="1:12" ht="15.75" hidden="1" thickBot="1" x14ac:dyDescent="0.3">
      <c r="A4276" s="180" t="s">
        <v>2541</v>
      </c>
      <c r="B4276" s="178" t="str">
        <f>INDEX(Orçamentária!A:B,MATCH(Composições!A4276,Orçamentária!A:A,0),2)</f>
        <v>Armação em tela de aço soldado nervurada</v>
      </c>
      <c r="C4276" s="30"/>
      <c r="D4276" s="13" t="str">
        <f>TRIM(INDEX(Orçamentária!C:C,MATCH(Composições!A4276,Orçamentária!A:A,0),1))</f>
        <v>m2</v>
      </c>
      <c r="E4276" s="14"/>
      <c r="F4276" s="15" t="s">
        <v>2542</v>
      </c>
      <c r="G4276" s="40" t="s">
        <v>1079</v>
      </c>
      <c r="H4276" s="16"/>
      <c r="I4276" s="16" t="str">
        <f>IF(ISNUMBER(G4276),E4276*G4276,"")</f>
        <v/>
      </c>
      <c r="J4276" s="17"/>
      <c r="K4276" s="18"/>
      <c r="L4276" s="174">
        <v>0</v>
      </c>
    </row>
    <row r="4277" spans="1:12" hidden="1" x14ac:dyDescent="0.25">
      <c r="A4277" s="186"/>
      <c r="B4277" s="179"/>
      <c r="C4277" s="20"/>
      <c r="D4277" s="20"/>
      <c r="E4277" s="21"/>
      <c r="F4277" s="22"/>
      <c r="G4277" s="46" t="s">
        <v>1079</v>
      </c>
      <c r="H4277" s="20"/>
      <c r="I4277" s="46" t="str">
        <f>IF(ISNUMBER(G4277),E4277*G4277,"")</f>
        <v/>
      </c>
      <c r="J4277" s="69"/>
      <c r="K4277" s="70"/>
      <c r="L4277" s="174">
        <v>0</v>
      </c>
    </row>
    <row r="4278" spans="1:12" ht="38.25" hidden="1" x14ac:dyDescent="0.25">
      <c r="A4278" s="186"/>
      <c r="B4278" s="179"/>
      <c r="C4278" s="25" t="s">
        <v>2543</v>
      </c>
      <c r="D4278" s="25" t="s">
        <v>1795</v>
      </c>
      <c r="E4278" s="26">
        <f>ROUND(0.712*1.48,4)</f>
        <v>1.0538000000000001</v>
      </c>
      <c r="F4278" s="27" t="s">
        <v>2544</v>
      </c>
      <c r="G4278" s="46">
        <v>8.9205000000000005</v>
      </c>
      <c r="H4278" s="27" t="s">
        <v>2545</v>
      </c>
      <c r="I4278" s="46">
        <f>IF(ISNUMBER(G4278),E4278*G4278,"")</f>
        <v>9.4004229000000006</v>
      </c>
      <c r="J4278" s="28">
        <f>SUM(I4278:I4282)</f>
        <v>11.0781343</v>
      </c>
      <c r="K4278" s="29"/>
      <c r="L4278" s="174">
        <v>0</v>
      </c>
    </row>
    <row r="4279" spans="1:12" ht="38.25" hidden="1" x14ac:dyDescent="0.25">
      <c r="A4279" s="186"/>
      <c r="B4279" s="179"/>
      <c r="C4279" s="25" t="s">
        <v>1630</v>
      </c>
      <c r="D4279" s="25" t="s">
        <v>588</v>
      </c>
      <c r="E4279" s="26">
        <f>ROUND(1.382*1.48,4)</f>
        <v>2.0453999999999999</v>
      </c>
      <c r="F4279" s="27" t="s">
        <v>2544</v>
      </c>
      <c r="G4279" s="46">
        <v>0.1235</v>
      </c>
      <c r="H4279" s="27" t="s">
        <v>1631</v>
      </c>
      <c r="I4279" s="46">
        <f>IF(ISNUMBER(G4279),E4279*G4279,"")</f>
        <v>0.25260689999999997</v>
      </c>
      <c r="J4279" s="69"/>
      <c r="K4279" s="70"/>
      <c r="L4279" s="174">
        <v>0</v>
      </c>
    </row>
    <row r="4280" spans="1:12" ht="25.5" hidden="1" x14ac:dyDescent="0.25">
      <c r="A4280" s="186"/>
      <c r="B4280" s="179"/>
      <c r="C4280" s="25" t="s">
        <v>1016</v>
      </c>
      <c r="D4280" s="25" t="s">
        <v>1629</v>
      </c>
      <c r="E4280" s="26">
        <f>ROUND(0.0105*1.48,4)</f>
        <v>1.55E-2</v>
      </c>
      <c r="F4280" s="27" t="s">
        <v>2544</v>
      </c>
      <c r="G4280" s="46">
        <v>12.426</v>
      </c>
      <c r="H4280" s="27" t="s">
        <v>1017</v>
      </c>
      <c r="I4280" s="46">
        <f>IF(ISNUMBER(G4280),E4280*G4280,"")</f>
        <v>0.192603</v>
      </c>
      <c r="J4280" s="69"/>
      <c r="K4280" s="70"/>
      <c r="L4280" s="174">
        <v>0</v>
      </c>
    </row>
    <row r="4281" spans="1:12" hidden="1" x14ac:dyDescent="0.25">
      <c r="A4281" s="186"/>
      <c r="B4281" s="179"/>
      <c r="C4281" s="25" t="s">
        <v>1632</v>
      </c>
      <c r="D4281" s="25" t="s">
        <v>1366</v>
      </c>
      <c r="E4281" s="26">
        <f>ROUND(0.006*1.48,4)</f>
        <v>8.8999999999999999E-3</v>
      </c>
      <c r="F4281" s="27" t="s">
        <v>2544</v>
      </c>
      <c r="G4281" s="46">
        <v>14.933999999999999</v>
      </c>
      <c r="H4281" s="27" t="s">
        <v>1633</v>
      </c>
      <c r="I4281" s="46">
        <f>IF(ISNUMBER(G4281),E4281*G4281,"")</f>
        <v>0.13291259999999999</v>
      </c>
      <c r="J4281" s="69"/>
      <c r="K4281" s="70"/>
      <c r="L4281" s="174">
        <v>0</v>
      </c>
    </row>
    <row r="4282" spans="1:12" hidden="1" x14ac:dyDescent="0.25">
      <c r="A4282" s="186"/>
      <c r="B4282" s="179"/>
      <c r="C4282" s="25" t="s">
        <v>1634</v>
      </c>
      <c r="D4282" s="25" t="s">
        <v>1366</v>
      </c>
      <c r="E4282" s="26">
        <f>ROUND(0.039*1.48,4)</f>
        <v>5.7700000000000001E-2</v>
      </c>
      <c r="F4282" s="27" t="s">
        <v>2544</v>
      </c>
      <c r="G4282" s="46">
        <v>19.056999999999999</v>
      </c>
      <c r="H4282" s="27" t="s">
        <v>1635</v>
      </c>
      <c r="I4282" s="46">
        <f>IF(ISNUMBER(G4282),E4282*G4282,"")</f>
        <v>1.0995888999999999</v>
      </c>
      <c r="J4282" s="69"/>
      <c r="K4282" s="70"/>
      <c r="L4282" s="174">
        <v>0</v>
      </c>
    </row>
    <row r="4283" spans="1:12" hidden="1" x14ac:dyDescent="0.25">
      <c r="A4283" s="186"/>
      <c r="B4283" s="179"/>
      <c r="C4283" s="25"/>
      <c r="D4283" s="25"/>
      <c r="E4283" s="26"/>
      <c r="F4283" s="27"/>
      <c r="G4283" s="46" t="s">
        <v>1079</v>
      </c>
      <c r="H4283" s="27"/>
      <c r="I4283" s="46" t="str">
        <f>IF(ISNUMBER(G4283),E4283*G4283,"")</f>
        <v/>
      </c>
      <c r="J4283" s="69"/>
      <c r="K4283" s="70"/>
      <c r="L4283" s="174">
        <v>0</v>
      </c>
    </row>
    <row r="4284" spans="1:12" ht="15.75" hidden="1" thickBot="1" x14ac:dyDescent="0.3">
      <c r="A4284" s="180" t="s">
        <v>2546</v>
      </c>
      <c r="B4284" s="178" t="str">
        <f>INDEX(Orçamentária!A:B,MATCH(Composições!A4284,Orçamentária!A:A,0),2)</f>
        <v>Trama de aço composta por terças para telhados de até 2 águas</v>
      </c>
      <c r="C4284" s="30"/>
      <c r="D4284" s="13" t="str">
        <f>TRIM(INDEX(Orçamentária!C:C,MATCH(Composições!A4284,Orçamentária!A:A,0),1))</f>
        <v>m2</v>
      </c>
      <c r="E4284" s="14"/>
      <c r="F4284" s="15" t="s">
        <v>2547</v>
      </c>
      <c r="G4284" s="40" t="s">
        <v>1079</v>
      </c>
      <c r="H4284" s="16"/>
      <c r="I4284" s="16" t="str">
        <f>IF(ISNUMBER(G4284),E4284*G4284,"")</f>
        <v/>
      </c>
      <c r="J4284" s="17"/>
      <c r="K4284" s="18"/>
      <c r="L4284" s="174">
        <v>0</v>
      </c>
    </row>
    <row r="4285" spans="1:12" hidden="1" x14ac:dyDescent="0.25">
      <c r="A4285" s="186"/>
      <c r="B4285" s="179"/>
      <c r="C4285" s="20"/>
      <c r="D4285" s="20"/>
      <c r="E4285" s="21"/>
      <c r="F4285" s="22"/>
      <c r="G4285" s="46" t="s">
        <v>1079</v>
      </c>
      <c r="H4285" s="20"/>
      <c r="I4285" s="46" t="str">
        <f>IF(ISNUMBER(G4285),E4285*G4285,"")</f>
        <v/>
      </c>
      <c r="J4285" s="69"/>
      <c r="K4285" s="70"/>
      <c r="L4285" s="174">
        <v>0</v>
      </c>
    </row>
    <row r="4286" spans="1:12" ht="25.5" hidden="1" x14ac:dyDescent="0.25">
      <c r="A4286" s="186"/>
      <c r="B4286" s="179"/>
      <c r="C4286" s="25" t="s">
        <v>2548</v>
      </c>
      <c r="D4286" s="36" t="s">
        <v>2273</v>
      </c>
      <c r="E4286" s="26">
        <v>7.0000000000000001E-3</v>
      </c>
      <c r="F4286" s="27" t="s">
        <v>2547</v>
      </c>
      <c r="G4286" s="46">
        <v>138.36750000000001</v>
      </c>
      <c r="H4286" s="27" t="s">
        <v>2549</v>
      </c>
      <c r="I4286" s="46">
        <f>IF(ISNUMBER(G4286),E4286*G4286,"")</f>
        <v>0.96857250000000006</v>
      </c>
      <c r="J4286" s="28">
        <f>SUM(I4286:I4291)</f>
        <v>26.703614599999998</v>
      </c>
      <c r="K4286" s="29"/>
      <c r="L4286" s="174">
        <v>0</v>
      </c>
    </row>
    <row r="4287" spans="1:12" ht="25.5" hidden="1" x14ac:dyDescent="0.25">
      <c r="A4287" s="186"/>
      <c r="B4287" s="179"/>
      <c r="C4287" s="25" t="s">
        <v>2550</v>
      </c>
      <c r="D4287" s="25" t="s">
        <v>1629</v>
      </c>
      <c r="E4287" s="26">
        <v>4.3330000000000002</v>
      </c>
      <c r="F4287" s="27" t="s">
        <v>2547</v>
      </c>
      <c r="G4287" s="46">
        <v>4.8069999999999995</v>
      </c>
      <c r="H4287" s="27" t="s">
        <v>2551</v>
      </c>
      <c r="I4287" s="46">
        <f>IF(ISNUMBER(G4287),E4287*G4287,"")</f>
        <v>20.828730999999998</v>
      </c>
      <c r="J4287" s="69"/>
      <c r="K4287" s="70"/>
      <c r="L4287" s="174">
        <v>0</v>
      </c>
    </row>
    <row r="4288" spans="1:12" ht="25.5" hidden="1" x14ac:dyDescent="0.25">
      <c r="A4288" s="186"/>
      <c r="B4288" s="179"/>
      <c r="C4288" s="25" t="s">
        <v>1783</v>
      </c>
      <c r="D4288" s="25" t="s">
        <v>1366</v>
      </c>
      <c r="E4288" s="26">
        <v>0.21299999999999999</v>
      </c>
      <c r="F4288" s="27" t="s">
        <v>2547</v>
      </c>
      <c r="G4288" s="46">
        <v>14.715499999999999</v>
      </c>
      <c r="H4288" s="27" t="s">
        <v>49</v>
      </c>
      <c r="I4288" s="46">
        <f>IF(ISNUMBER(G4288),E4288*G4288,"")</f>
        <v>3.1344014999999996</v>
      </c>
      <c r="J4288" s="69"/>
      <c r="K4288" s="70"/>
      <c r="L4288" s="174">
        <v>0</v>
      </c>
    </row>
    <row r="4289" spans="1:12" hidden="1" x14ac:dyDescent="0.25">
      <c r="A4289" s="186"/>
      <c r="B4289" s="179"/>
      <c r="C4289" s="25" t="s">
        <v>1367</v>
      </c>
      <c r="D4289" s="25" t="s">
        <v>1366</v>
      </c>
      <c r="E4289" s="26">
        <v>0.106</v>
      </c>
      <c r="F4289" s="27" t="s">
        <v>2547</v>
      </c>
      <c r="G4289" s="46">
        <v>14.325999999999999</v>
      </c>
      <c r="H4289" s="27" t="s">
        <v>39</v>
      </c>
      <c r="I4289" s="46">
        <f>IF(ISNUMBER(G4289),E4289*G4289,"")</f>
        <v>1.5185559999999998</v>
      </c>
      <c r="J4289" s="69"/>
      <c r="K4289" s="70"/>
      <c r="L4289" s="174">
        <v>0</v>
      </c>
    </row>
    <row r="4290" spans="1:12" ht="25.5" hidden="1" x14ac:dyDescent="0.25">
      <c r="A4290" s="186"/>
      <c r="B4290" s="179"/>
      <c r="C4290" s="25" t="s">
        <v>2409</v>
      </c>
      <c r="D4290" s="25" t="s">
        <v>1691</v>
      </c>
      <c r="E4290" s="26">
        <v>6.7999999999999996E-3</v>
      </c>
      <c r="F4290" s="27" t="s">
        <v>2547</v>
      </c>
      <c r="G4290" s="46">
        <v>16.035999999999998</v>
      </c>
      <c r="H4290" s="27" t="s">
        <v>2410</v>
      </c>
      <c r="I4290" s="46">
        <f>IF(ISNUMBER(G4290),E4290*G4290,"")</f>
        <v>0.10904479999999998</v>
      </c>
      <c r="J4290" s="69"/>
      <c r="K4290" s="70"/>
      <c r="L4290" s="174">
        <v>0</v>
      </c>
    </row>
    <row r="4291" spans="1:12" ht="25.5" hidden="1" x14ac:dyDescent="0.25">
      <c r="A4291" s="186"/>
      <c r="B4291" s="179"/>
      <c r="C4291" s="25" t="s">
        <v>2411</v>
      </c>
      <c r="D4291" s="25" t="s">
        <v>1694</v>
      </c>
      <c r="E4291" s="26">
        <v>9.4000000000000004E-3</v>
      </c>
      <c r="F4291" s="27" t="s">
        <v>2547</v>
      </c>
      <c r="G4291" s="46">
        <v>15.351999999999999</v>
      </c>
      <c r="H4291" s="27" t="s">
        <v>2412</v>
      </c>
      <c r="I4291" s="46">
        <f>IF(ISNUMBER(G4291),E4291*G4291,"")</f>
        <v>0.14430879999999999</v>
      </c>
      <c r="J4291" s="69"/>
      <c r="K4291" s="70"/>
      <c r="L4291" s="174">
        <v>0</v>
      </c>
    </row>
    <row r="4292" spans="1:12" ht="15.75" hidden="1" thickBot="1" x14ac:dyDescent="0.3">
      <c r="A4292" s="187"/>
      <c r="B4292" s="183"/>
      <c r="C4292" s="47"/>
      <c r="D4292" s="47"/>
      <c r="E4292" s="60"/>
      <c r="F4292" s="61"/>
      <c r="G4292" s="73" t="s">
        <v>1079</v>
      </c>
      <c r="H4292" s="61"/>
      <c r="I4292" s="73" t="str">
        <f>IF(ISNUMBER(G4292),E4292*G4292,"")</f>
        <v/>
      </c>
      <c r="J4292" s="75"/>
      <c r="K4292" s="70"/>
      <c r="L4292" s="174">
        <v>0</v>
      </c>
    </row>
    <row r="4293" spans="1:12" ht="15.75" hidden="1" thickBot="1" x14ac:dyDescent="0.3">
      <c r="A4293" s="180" t="s">
        <v>2552</v>
      </c>
      <c r="B4293" s="178" t="str">
        <f>INDEX(Orçamentária!A:B,MATCH(Composições!A4293,Orçamentária!A:A,0),2)</f>
        <v>Revestimento impermeabilizante bloqueador de umidade</v>
      </c>
      <c r="C4293" s="30"/>
      <c r="D4293" s="13" t="str">
        <f>TRIM(INDEX(Orçamentária!C:C,MATCH(Composições!A4293,Orçamentária!A:A,0),1))</f>
        <v>m2</v>
      </c>
      <c r="E4293" s="14"/>
      <c r="F4293" s="15" t="s">
        <v>2553</v>
      </c>
      <c r="G4293" s="40" t="s">
        <v>1079</v>
      </c>
      <c r="H4293" s="16"/>
      <c r="I4293" s="16" t="str">
        <f>IF(ISNUMBER(G4293),E4293*G4293,"")</f>
        <v/>
      </c>
      <c r="J4293" s="17"/>
      <c r="K4293" s="18"/>
      <c r="L4293" s="174">
        <v>0</v>
      </c>
    </row>
    <row r="4294" spans="1:12" hidden="1" x14ac:dyDescent="0.25">
      <c r="A4294" s="186"/>
      <c r="B4294" s="179"/>
      <c r="C4294" s="20"/>
      <c r="D4294" s="20"/>
      <c r="E4294" s="21"/>
      <c r="F4294" s="22"/>
      <c r="G4294" s="46" t="s">
        <v>1079</v>
      </c>
      <c r="H4294" s="20"/>
      <c r="I4294" s="46" t="str">
        <f>IF(ISNUMBER(G4294),E4294*G4294,"")</f>
        <v/>
      </c>
      <c r="J4294" s="69"/>
      <c r="K4294" s="70"/>
      <c r="L4294" s="174">
        <v>0</v>
      </c>
    </row>
    <row r="4295" spans="1:12" hidden="1" x14ac:dyDescent="0.25">
      <c r="A4295" s="186"/>
      <c r="B4295" s="179"/>
      <c r="C4295" s="25" t="s">
        <v>1878</v>
      </c>
      <c r="D4295" s="25" t="s">
        <v>1366</v>
      </c>
      <c r="E4295" s="26">
        <v>0.1</v>
      </c>
      <c r="F4295" s="27" t="s">
        <v>2554</v>
      </c>
      <c r="G4295" s="46">
        <v>16.406499999999998</v>
      </c>
      <c r="H4295" s="27" t="s">
        <v>204</v>
      </c>
      <c r="I4295" s="46">
        <f>IF(ISNUMBER(G4295),E4295*G4295,"")</f>
        <v>1.6406499999999999</v>
      </c>
      <c r="J4295" s="28">
        <f>SUM(I4295:I4297)</f>
        <v>5.6800499999999996</v>
      </c>
      <c r="K4295" s="29"/>
      <c r="L4295" s="174">
        <v>0</v>
      </c>
    </row>
    <row r="4296" spans="1:12" hidden="1" x14ac:dyDescent="0.25">
      <c r="A4296" s="186"/>
      <c r="B4296" s="179"/>
      <c r="C4296" s="25" t="s">
        <v>1972</v>
      </c>
      <c r="D4296" s="25" t="s">
        <v>1366</v>
      </c>
      <c r="E4296" s="26">
        <v>0.2</v>
      </c>
      <c r="F4296" s="27" t="s">
        <v>2554</v>
      </c>
      <c r="G4296" s="46">
        <v>20.196999999999999</v>
      </c>
      <c r="H4296" s="27" t="s">
        <v>206</v>
      </c>
      <c r="I4296" s="46">
        <f>IF(ISNUMBER(G4296),E4296*G4296,"")</f>
        <v>4.0393999999999997</v>
      </c>
      <c r="J4296" s="69"/>
      <c r="K4296" s="70"/>
      <c r="L4296" s="174">
        <v>0</v>
      </c>
    </row>
    <row r="4297" spans="1:12" ht="38.25" hidden="1" x14ac:dyDescent="0.25">
      <c r="A4297" s="186"/>
      <c r="B4297" s="179"/>
      <c r="C4297" s="25" t="s">
        <v>2555</v>
      </c>
      <c r="D4297" s="25" t="s">
        <v>208</v>
      </c>
      <c r="E4297" s="26">
        <f>2*3.6/75</f>
        <v>9.6000000000000002E-2</v>
      </c>
      <c r="F4297" s="27" t="s">
        <v>17</v>
      </c>
      <c r="G4297" s="46" t="s">
        <v>1079</v>
      </c>
      <c r="H4297" s="27" t="s">
        <v>33</v>
      </c>
      <c r="I4297" s="46" t="str">
        <f>IF(ISNUMBER(G4297),E4297*G4297,"")</f>
        <v/>
      </c>
      <c r="J4297" s="69"/>
      <c r="K4297" s="70"/>
      <c r="L4297" s="174">
        <v>0</v>
      </c>
    </row>
    <row r="4298" spans="1:12" hidden="1" x14ac:dyDescent="0.25">
      <c r="A4298" s="186"/>
      <c r="B4298" s="179"/>
      <c r="C4298" s="25"/>
      <c r="D4298" s="25"/>
      <c r="E4298" s="26"/>
      <c r="F4298" s="27"/>
      <c r="G4298" s="46" t="s">
        <v>1079</v>
      </c>
      <c r="H4298" s="27"/>
      <c r="I4298" s="46" t="str">
        <f>IF(ISNUMBER(G4298),E4298*G4298,"")</f>
        <v/>
      </c>
      <c r="J4298" s="69"/>
      <c r="K4298" s="70"/>
      <c r="L4298" s="174">
        <v>0</v>
      </c>
    </row>
    <row r="4299" spans="1:12" ht="38.25" hidden="1" x14ac:dyDescent="0.25">
      <c r="A4299" s="186"/>
      <c r="B4299" s="179"/>
      <c r="C4299" s="39" t="s">
        <v>2556</v>
      </c>
      <c r="D4299" s="25"/>
      <c r="E4299" s="26"/>
      <c r="F4299" s="27"/>
      <c r="G4299" s="46" t="s">
        <v>1079</v>
      </c>
      <c r="H4299" s="27"/>
      <c r="I4299" s="46" t="str">
        <f>IF(ISNUMBER(G4299),E4299*G4299,"")</f>
        <v/>
      </c>
      <c r="J4299" s="69"/>
      <c r="K4299" s="70"/>
      <c r="L4299" s="174">
        <v>0</v>
      </c>
    </row>
    <row r="4300" spans="1:12" hidden="1" x14ac:dyDescent="0.25">
      <c r="A4300" s="186"/>
      <c r="B4300" s="179"/>
      <c r="C4300" s="25"/>
      <c r="D4300" s="25"/>
      <c r="E4300" s="26"/>
      <c r="F4300" s="27"/>
      <c r="G4300" s="46" t="s">
        <v>1079</v>
      </c>
      <c r="H4300" s="27"/>
      <c r="I4300" s="46" t="str">
        <f>IF(ISNUMBER(G4300),E4300*G4300,"")</f>
        <v/>
      </c>
      <c r="J4300" s="69"/>
      <c r="K4300" s="70"/>
      <c r="L4300" s="174">
        <v>0</v>
      </c>
    </row>
    <row r="4301" spans="1:12" ht="15.75" hidden="1" thickBot="1" x14ac:dyDescent="0.3">
      <c r="A4301" s="180" t="s">
        <v>2557</v>
      </c>
      <c r="B4301" s="178" t="str">
        <f>INDEX(Orçamentária!A:B,MATCH(Composições!A4301,Orçamentária!A:A,0),2)</f>
        <v>Pintura com tinta refletiva aluminizada para impermeabilização</v>
      </c>
      <c r="C4301" s="30"/>
      <c r="D4301" s="13" t="str">
        <f>TRIM(INDEX(Orçamentária!C:C,MATCH(Composições!A4301,Orçamentária!A:A,0),1))</f>
        <v>m2</v>
      </c>
      <c r="E4301" s="14"/>
      <c r="F4301" s="15" t="s">
        <v>2553</v>
      </c>
      <c r="G4301" s="40" t="s">
        <v>1079</v>
      </c>
      <c r="H4301" s="16"/>
      <c r="I4301" s="16" t="str">
        <f>IF(ISNUMBER(G4301),E4301*G4301,"")</f>
        <v/>
      </c>
      <c r="J4301" s="17"/>
      <c r="K4301" s="18"/>
      <c r="L4301" s="174">
        <v>0</v>
      </c>
    </row>
    <row r="4302" spans="1:12" hidden="1" x14ac:dyDescent="0.25">
      <c r="A4302" s="186"/>
      <c r="B4302" s="179"/>
      <c r="C4302" s="20"/>
      <c r="D4302" s="20"/>
      <c r="E4302" s="21"/>
      <c r="F4302" s="22"/>
      <c r="G4302" s="46" t="s">
        <v>1079</v>
      </c>
      <c r="H4302" s="20"/>
      <c r="I4302" s="46" t="str">
        <f>IF(ISNUMBER(G4302),E4302*G4302,"")</f>
        <v/>
      </c>
      <c r="J4302" s="69"/>
      <c r="K4302" s="70"/>
      <c r="L4302" s="174">
        <v>0</v>
      </c>
    </row>
    <row r="4303" spans="1:12" hidden="1" x14ac:dyDescent="0.25">
      <c r="A4303" s="186"/>
      <c r="B4303" s="179"/>
      <c r="C4303" s="25" t="s">
        <v>1878</v>
      </c>
      <c r="D4303" s="25" t="s">
        <v>1366</v>
      </c>
      <c r="E4303" s="26">
        <v>0.1</v>
      </c>
      <c r="F4303" s="27" t="s">
        <v>2554</v>
      </c>
      <c r="G4303" s="46">
        <v>16.406499999999998</v>
      </c>
      <c r="H4303" s="27" t="s">
        <v>204</v>
      </c>
      <c r="I4303" s="46">
        <f>IF(ISNUMBER(G4303),E4303*G4303,"")</f>
        <v>1.6406499999999999</v>
      </c>
      <c r="J4303" s="28">
        <f>SUM(I4303:I4305)</f>
        <v>5.6800499999999996</v>
      </c>
      <c r="K4303" s="29"/>
      <c r="L4303" s="174">
        <v>0</v>
      </c>
    </row>
    <row r="4304" spans="1:12" hidden="1" x14ac:dyDescent="0.25">
      <c r="A4304" s="186"/>
      <c r="B4304" s="179"/>
      <c r="C4304" s="25" t="s">
        <v>1972</v>
      </c>
      <c r="D4304" s="25" t="s">
        <v>1366</v>
      </c>
      <c r="E4304" s="26">
        <v>0.2</v>
      </c>
      <c r="F4304" s="27" t="s">
        <v>2554</v>
      </c>
      <c r="G4304" s="46">
        <v>20.196999999999999</v>
      </c>
      <c r="H4304" s="27" t="s">
        <v>206</v>
      </c>
      <c r="I4304" s="46">
        <f>IF(ISNUMBER(G4304),E4304*G4304,"")</f>
        <v>4.0393999999999997</v>
      </c>
      <c r="J4304" s="69"/>
      <c r="K4304" s="70"/>
      <c r="L4304" s="174">
        <v>0</v>
      </c>
    </row>
    <row r="4305" spans="1:12" hidden="1" x14ac:dyDescent="0.25">
      <c r="A4305" s="186"/>
      <c r="B4305" s="179"/>
      <c r="C4305" s="25" t="s">
        <v>2558</v>
      </c>
      <c r="D4305" s="25" t="s">
        <v>208</v>
      </c>
      <c r="E4305" s="26">
        <v>0.5</v>
      </c>
      <c r="F4305" s="27" t="s">
        <v>2559</v>
      </c>
      <c r="G4305" s="46">
        <v>0</v>
      </c>
      <c r="H4305" s="27" t="s">
        <v>2560</v>
      </c>
      <c r="I4305" s="46">
        <f>IF(ISNUMBER(G4305),E4305*G4305,"")</f>
        <v>0</v>
      </c>
      <c r="J4305" s="69"/>
      <c r="K4305" s="70"/>
      <c r="L4305" s="174">
        <v>0</v>
      </c>
    </row>
    <row r="4306" spans="1:12" hidden="1" x14ac:dyDescent="0.25">
      <c r="A4306" s="186"/>
      <c r="B4306" s="179"/>
      <c r="C4306" s="25"/>
      <c r="D4306" s="25"/>
      <c r="E4306" s="26"/>
      <c r="F4306" s="27"/>
      <c r="G4306" s="46" t="s">
        <v>1079</v>
      </c>
      <c r="H4306" s="27"/>
      <c r="I4306" s="46" t="str">
        <f>IF(ISNUMBER(G4306),E4306*G4306,"")</f>
        <v/>
      </c>
      <c r="J4306" s="69"/>
      <c r="K4306" s="70"/>
      <c r="L4306" s="174">
        <v>0</v>
      </c>
    </row>
    <row r="4307" spans="1:12" ht="15.75" hidden="1" thickBot="1" x14ac:dyDescent="0.3">
      <c r="A4307" s="180" t="s">
        <v>2561</v>
      </c>
      <c r="B4307" s="178" t="str">
        <f>INDEX(Orçamentária!A:B,MATCH(Composições!A4307,Orçamentária!A:A,0),2)</f>
        <v>Concreto leve com poliestireno expandido</v>
      </c>
      <c r="C4307" s="30"/>
      <c r="D4307" s="13" t="str">
        <f>TRIM(INDEX(Orçamentária!C:C,MATCH(Composições!A4307,Orçamentária!A:A,0),1))</f>
        <v>m3</v>
      </c>
      <c r="E4307" s="14"/>
      <c r="F4307" s="15" t="s">
        <v>2562</v>
      </c>
      <c r="G4307" s="40" t="s">
        <v>1079</v>
      </c>
      <c r="H4307" s="16"/>
      <c r="I4307" s="16" t="str">
        <f>IF(ISNUMBER(G4307),E4307*G4307,"")</f>
        <v/>
      </c>
      <c r="J4307" s="17"/>
      <c r="K4307" s="18"/>
      <c r="L4307" s="174">
        <v>0</v>
      </c>
    </row>
    <row r="4308" spans="1:12" hidden="1" x14ac:dyDescent="0.25">
      <c r="A4308" s="186"/>
      <c r="B4308" s="179"/>
      <c r="C4308" s="20"/>
      <c r="D4308" s="20"/>
      <c r="E4308" s="21"/>
      <c r="F4308" s="22"/>
      <c r="G4308" s="46" t="s">
        <v>1079</v>
      </c>
      <c r="H4308" s="20"/>
      <c r="I4308" s="46" t="str">
        <f>IF(ISNUMBER(G4308),E4308*G4308,"")</f>
        <v/>
      </c>
      <c r="J4308" s="69"/>
      <c r="K4308" s="70"/>
      <c r="L4308" s="174">
        <v>0</v>
      </c>
    </row>
    <row r="4309" spans="1:12" hidden="1" x14ac:dyDescent="0.25">
      <c r="A4309" s="186"/>
      <c r="B4309" s="179"/>
      <c r="C4309" s="25" t="s">
        <v>1367</v>
      </c>
      <c r="D4309" s="25" t="s">
        <v>1366</v>
      </c>
      <c r="E4309" s="26">
        <v>6.5</v>
      </c>
      <c r="F4309" s="27" t="s">
        <v>2563</v>
      </c>
      <c r="G4309" s="46">
        <v>14.325999999999999</v>
      </c>
      <c r="H4309" s="27" t="s">
        <v>39</v>
      </c>
      <c r="I4309" s="46">
        <f>IF(ISNUMBER(G4309),E4309*G4309,"")</f>
        <v>93.118999999999986</v>
      </c>
      <c r="J4309" s="28">
        <f>SUM(I4309:I4315)</f>
        <v>672.4116087299999</v>
      </c>
      <c r="K4309" s="29"/>
      <c r="L4309" s="174">
        <v>0</v>
      </c>
    </row>
    <row r="4310" spans="1:12" ht="25.5" hidden="1" x14ac:dyDescent="0.25">
      <c r="A4310" s="186"/>
      <c r="B4310" s="179"/>
      <c r="C4310" s="25" t="s">
        <v>1455</v>
      </c>
      <c r="D4310" s="25" t="s">
        <v>228</v>
      </c>
      <c r="E4310" s="26">
        <v>0.35799999999999998</v>
      </c>
      <c r="F4310" s="27" t="s">
        <v>2563</v>
      </c>
      <c r="G4310" s="46">
        <v>93.8125</v>
      </c>
      <c r="H4310" s="27" t="s">
        <v>240</v>
      </c>
      <c r="I4310" s="46">
        <f>IF(ISNUMBER(G4310),E4310*G4310,"")</f>
        <v>33.584874999999997</v>
      </c>
      <c r="J4310" s="69"/>
      <c r="K4310" s="70"/>
      <c r="L4310" s="174">
        <v>0</v>
      </c>
    </row>
    <row r="4311" spans="1:12" hidden="1" x14ac:dyDescent="0.25">
      <c r="A4311" s="186"/>
      <c r="B4311" s="179"/>
      <c r="C4311" s="25" t="s">
        <v>1448</v>
      </c>
      <c r="D4311" s="25" t="s">
        <v>1629</v>
      </c>
      <c r="E4311" s="26">
        <v>400</v>
      </c>
      <c r="F4311" s="27" t="s">
        <v>2563</v>
      </c>
      <c r="G4311" s="46">
        <v>0.38</v>
      </c>
      <c r="H4311" s="27" t="s">
        <v>242</v>
      </c>
      <c r="I4311" s="46">
        <f>IF(ISNUMBER(G4311),E4311*G4311,"")</f>
        <v>152</v>
      </c>
      <c r="J4311" s="69"/>
      <c r="K4311" s="70"/>
      <c r="L4311" s="174">
        <v>0</v>
      </c>
    </row>
    <row r="4312" spans="1:12" ht="25.5" hidden="1" x14ac:dyDescent="0.25">
      <c r="A4312" s="186"/>
      <c r="B4312" s="179"/>
      <c r="C4312" s="25" t="s">
        <v>2564</v>
      </c>
      <c r="D4312" s="25" t="s">
        <v>75</v>
      </c>
      <c r="E4312" s="26">
        <v>10.5</v>
      </c>
      <c r="F4312" s="27" t="s">
        <v>2563</v>
      </c>
      <c r="G4312" s="46">
        <v>36.726999999999997</v>
      </c>
      <c r="H4312" s="27" t="s">
        <v>2565</v>
      </c>
      <c r="I4312" s="46">
        <f>IF(ISNUMBER(G4312),E4312*G4312,"")</f>
        <v>385.63349999999997</v>
      </c>
      <c r="J4312" s="69"/>
      <c r="K4312" s="70"/>
      <c r="L4312" s="174">
        <v>0</v>
      </c>
    </row>
    <row r="4313" spans="1:12" ht="38.25" hidden="1" x14ac:dyDescent="0.25">
      <c r="A4313" s="186"/>
      <c r="B4313" s="179"/>
      <c r="C4313" s="25" t="s">
        <v>247</v>
      </c>
      <c r="D4313" s="25" t="s">
        <v>1691</v>
      </c>
      <c r="E4313" s="26">
        <v>0.34300000000000003</v>
      </c>
      <c r="F4313" s="27" t="s">
        <v>2563</v>
      </c>
      <c r="G4313" s="46">
        <v>1.1684999999999999</v>
      </c>
      <c r="H4313" s="27" t="s">
        <v>248</v>
      </c>
      <c r="I4313" s="46">
        <f>IF(ISNUMBER(G4313),E4313*G4313,"")</f>
        <v>0.40079549999999997</v>
      </c>
      <c r="J4313" s="69"/>
      <c r="K4313" s="70"/>
      <c r="L4313" s="174">
        <v>0</v>
      </c>
    </row>
    <row r="4314" spans="1:12" ht="38.25" hidden="1" x14ac:dyDescent="0.25">
      <c r="A4314" s="186"/>
      <c r="B4314" s="179"/>
      <c r="C4314" s="25" t="s">
        <v>251</v>
      </c>
      <c r="D4314" s="25" t="s">
        <v>228</v>
      </c>
      <c r="E4314" s="26">
        <f>1*E4310</f>
        <v>0.35799999999999998</v>
      </c>
      <c r="F4314" s="27" t="s">
        <v>17</v>
      </c>
      <c r="G4314" s="23">
        <v>0.72471700000000006</v>
      </c>
      <c r="H4314" s="27" t="s">
        <v>253</v>
      </c>
      <c r="I4314" s="23">
        <f>IF(ISNUMBER(G4314),E4314*G4314,"")</f>
        <v>0.25944868599999998</v>
      </c>
      <c r="J4314" s="24"/>
      <c r="K4314" s="19"/>
      <c r="L4314" s="174">
        <v>0</v>
      </c>
    </row>
    <row r="4315" spans="1:12" ht="38.25" hidden="1" x14ac:dyDescent="0.25">
      <c r="A4315" s="186"/>
      <c r="B4315" s="179"/>
      <c r="C4315" s="25" t="s">
        <v>254</v>
      </c>
      <c r="D4315" s="25" t="s">
        <v>255</v>
      </c>
      <c r="E4315" s="26">
        <f>E4310*20</f>
        <v>7.16</v>
      </c>
      <c r="F4315" s="27" t="s">
        <v>17</v>
      </c>
      <c r="G4315" s="46">
        <v>1.0354733999999999</v>
      </c>
      <c r="H4315" s="27" t="s">
        <v>256</v>
      </c>
      <c r="I4315" s="46">
        <f>IF(ISNUMBER(G4315),E4315*G4315,"")</f>
        <v>7.4139895439999997</v>
      </c>
      <c r="J4315" s="69"/>
      <c r="K4315" s="70"/>
      <c r="L4315" s="174">
        <v>0</v>
      </c>
    </row>
    <row r="4316" spans="1:12" hidden="1" x14ac:dyDescent="0.25">
      <c r="A4316" s="186"/>
      <c r="B4316" s="179"/>
      <c r="C4316" s="25"/>
      <c r="D4316" s="25"/>
      <c r="E4316" s="26"/>
      <c r="F4316" s="27"/>
      <c r="G4316" s="46" t="s">
        <v>1079</v>
      </c>
      <c r="H4316" s="27"/>
      <c r="I4316" s="46" t="str">
        <f>IF(ISNUMBER(G4316),E4316*G4316,"")</f>
        <v/>
      </c>
      <c r="J4316" s="69"/>
      <c r="K4316" s="70"/>
      <c r="L4316" s="174">
        <v>0</v>
      </c>
    </row>
    <row r="4317" spans="1:12" hidden="1" x14ac:dyDescent="0.25">
      <c r="A4317" s="186"/>
      <c r="B4317" s="179"/>
      <c r="C4317" s="39" t="s">
        <v>2566</v>
      </c>
      <c r="D4317" s="25"/>
      <c r="E4317" s="26"/>
      <c r="F4317" s="27"/>
      <c r="G4317" s="46" t="s">
        <v>1079</v>
      </c>
      <c r="H4317" s="27"/>
      <c r="I4317" s="46" t="str">
        <f>IF(ISNUMBER(G4317),E4317*G4317,"")</f>
        <v/>
      </c>
      <c r="J4317" s="69"/>
      <c r="K4317" s="70"/>
      <c r="L4317" s="174">
        <v>0</v>
      </c>
    </row>
    <row r="4318" spans="1:12" hidden="1" x14ac:dyDescent="0.25">
      <c r="A4318" s="186"/>
      <c r="B4318" s="179"/>
      <c r="C4318" s="25"/>
      <c r="D4318" s="25"/>
      <c r="E4318" s="26"/>
      <c r="F4318" s="27"/>
      <c r="G4318" s="46" t="s">
        <v>1079</v>
      </c>
      <c r="H4318" s="27"/>
      <c r="I4318" s="46" t="str">
        <f>IF(ISNUMBER(G4318),E4318*G4318,"")</f>
        <v/>
      </c>
      <c r="J4318" s="69"/>
      <c r="K4318" s="70"/>
      <c r="L4318" s="174">
        <v>0</v>
      </c>
    </row>
    <row r="4319" spans="1:12" ht="15.75" hidden="1" thickBot="1" x14ac:dyDescent="0.3">
      <c r="A4319" s="180" t="s">
        <v>2567</v>
      </c>
      <c r="B4319" s="178" t="str">
        <f>INDEX(Orçamentária!A:B,MATCH(Composições!A4319,Orçamentária!A:A,0),2)</f>
        <v>Colagem da camada de proteção térmica de impermeabilização</v>
      </c>
      <c r="C4319" s="30"/>
      <c r="D4319" s="13" t="str">
        <f>TRIM(INDEX(Orçamentária!C:C,MATCH(Composições!A4319,Orçamentária!A:A,0),1))</f>
        <v>m2</v>
      </c>
      <c r="E4319" s="14"/>
      <c r="F4319" s="15" t="s">
        <v>2568</v>
      </c>
      <c r="G4319" s="40" t="s">
        <v>1079</v>
      </c>
      <c r="H4319" s="16"/>
      <c r="I4319" s="16" t="str">
        <f>IF(ISNUMBER(G4319),E4319*G4319,"")</f>
        <v/>
      </c>
      <c r="J4319" s="17"/>
      <c r="K4319" s="18"/>
      <c r="L4319" s="174">
        <v>0</v>
      </c>
    </row>
    <row r="4320" spans="1:12" hidden="1" x14ac:dyDescent="0.25">
      <c r="A4320" s="186"/>
      <c r="B4320" s="179"/>
      <c r="C4320" s="20"/>
      <c r="D4320" s="20"/>
      <c r="E4320" s="21"/>
      <c r="F4320" s="22"/>
      <c r="G4320" s="46" t="s">
        <v>1079</v>
      </c>
      <c r="H4320" s="20"/>
      <c r="I4320" s="46" t="str">
        <f>IF(ISNUMBER(G4320),E4320*G4320,"")</f>
        <v/>
      </c>
      <c r="J4320" s="69"/>
      <c r="K4320" s="70"/>
      <c r="L4320" s="174">
        <v>0</v>
      </c>
    </row>
    <row r="4321" spans="1:12" ht="25.5" hidden="1" x14ac:dyDescent="0.25">
      <c r="A4321" s="186"/>
      <c r="B4321" s="179"/>
      <c r="C4321" s="25" t="s">
        <v>2569</v>
      </c>
      <c r="D4321" s="25" t="s">
        <v>208</v>
      </c>
      <c r="E4321" s="26">
        <v>0.35</v>
      </c>
      <c r="F4321" s="27" t="s">
        <v>17</v>
      </c>
      <c r="G4321" s="46">
        <v>15.000499999999999</v>
      </c>
      <c r="H4321" s="27" t="s">
        <v>2570</v>
      </c>
      <c r="I4321" s="46">
        <f>IF(ISNUMBER(G4321),E4321*G4321,"")</f>
        <v>5.2501749999999996</v>
      </c>
      <c r="J4321" s="28">
        <f>SUM(I4321:I4322)</f>
        <v>6.6851024999999993</v>
      </c>
      <c r="K4321" s="29"/>
      <c r="L4321" s="174">
        <v>0</v>
      </c>
    </row>
    <row r="4322" spans="1:12" hidden="1" x14ac:dyDescent="0.25">
      <c r="A4322" s="186"/>
      <c r="B4322" s="179"/>
      <c r="C4322" s="25" t="s">
        <v>2571</v>
      </c>
      <c r="D4322" s="25" t="s">
        <v>1366</v>
      </c>
      <c r="E4322" s="26">
        <v>8.5000000000000006E-2</v>
      </c>
      <c r="F4322" s="27" t="s">
        <v>1827</v>
      </c>
      <c r="G4322" s="46">
        <v>16.881499999999999</v>
      </c>
      <c r="H4322" s="27" t="s">
        <v>93</v>
      </c>
      <c r="I4322" s="46">
        <f>IF(ISNUMBER(G4322),E4322*G4322,"")</f>
        <v>1.4349275000000001</v>
      </c>
      <c r="J4322" s="69"/>
      <c r="K4322" s="70"/>
      <c r="L4322" s="174">
        <v>0</v>
      </c>
    </row>
    <row r="4323" spans="1:12" hidden="1" x14ac:dyDescent="0.25">
      <c r="A4323" s="186"/>
      <c r="B4323" s="179"/>
      <c r="C4323" s="25"/>
      <c r="D4323" s="25"/>
      <c r="E4323" s="26"/>
      <c r="F4323" s="27"/>
      <c r="G4323" s="46" t="s">
        <v>1079</v>
      </c>
      <c r="H4323" s="27"/>
      <c r="I4323" s="46" t="str">
        <f>IF(ISNUMBER(G4323),E4323*G4323,"")</f>
        <v/>
      </c>
      <c r="J4323" s="69"/>
      <c r="K4323" s="70"/>
      <c r="L4323" s="174">
        <v>0</v>
      </c>
    </row>
    <row r="4324" spans="1:12" ht="25.5" hidden="1" x14ac:dyDescent="0.25">
      <c r="A4324" s="186"/>
      <c r="B4324" s="179"/>
      <c r="C4324" s="39" t="s">
        <v>2572</v>
      </c>
      <c r="D4324" s="25"/>
      <c r="E4324" s="26"/>
      <c r="F4324" s="27"/>
      <c r="G4324" s="46" t="s">
        <v>1079</v>
      </c>
      <c r="H4324" s="27"/>
      <c r="I4324" s="46" t="str">
        <f>IF(ISNUMBER(G4324),E4324*G4324,"")</f>
        <v/>
      </c>
      <c r="J4324" s="69"/>
      <c r="K4324" s="70"/>
      <c r="L4324" s="174">
        <v>0</v>
      </c>
    </row>
    <row r="4325" spans="1:12" hidden="1" x14ac:dyDescent="0.25">
      <c r="A4325" s="186"/>
      <c r="B4325" s="179"/>
      <c r="C4325" s="172" t="s">
        <v>2573</v>
      </c>
      <c r="D4325" s="25"/>
      <c r="E4325" s="26"/>
      <c r="F4325" s="27"/>
      <c r="G4325" s="46" t="s">
        <v>1079</v>
      </c>
      <c r="H4325" s="27"/>
      <c r="I4325" s="46" t="str">
        <f>IF(ISNUMBER(G4325),E4325*G4325,"")</f>
        <v/>
      </c>
      <c r="J4325" s="69"/>
      <c r="K4325" s="70"/>
      <c r="L4325" s="174">
        <v>0</v>
      </c>
    </row>
    <row r="4326" spans="1:12" ht="15.75" hidden="1" thickBot="1" x14ac:dyDescent="0.3">
      <c r="A4326" s="187"/>
      <c r="B4326" s="183"/>
      <c r="C4326" s="25"/>
      <c r="D4326" s="25"/>
      <c r="E4326" s="26"/>
      <c r="F4326" s="27"/>
      <c r="G4326" s="46" t="s">
        <v>1079</v>
      </c>
      <c r="H4326" s="27"/>
      <c r="I4326" s="46" t="str">
        <f>IF(ISNUMBER(G4326),E4326*G4326,"")</f>
        <v/>
      </c>
      <c r="J4326" s="69"/>
      <c r="K4326" s="70"/>
      <c r="L4326" s="174">
        <v>0</v>
      </c>
    </row>
    <row r="4327" spans="1:12" ht="15.75" hidden="1" thickBot="1" x14ac:dyDescent="0.3">
      <c r="A4327" s="180" t="s">
        <v>2574</v>
      </c>
      <c r="B4327" s="178" t="str">
        <f>INDEX(Orçamentária!A:B,MATCH(Composições!A4327,Orçamentária!A:A,0),2)</f>
        <v>Impermeabilização com Membrana de Poliuretano</v>
      </c>
      <c r="C4327" s="30"/>
      <c r="D4327" s="13" t="str">
        <f>TRIM(INDEX(Orçamentária!C:C,MATCH(Composições!A4327,Orçamentária!A:A,0),1))</f>
        <v>m2</v>
      </c>
      <c r="E4327" s="14"/>
      <c r="F4327" s="15" t="s">
        <v>2575</v>
      </c>
      <c r="G4327" s="40" t="s">
        <v>1079</v>
      </c>
      <c r="H4327" s="16"/>
      <c r="I4327" s="16" t="str">
        <f>IF(ISNUMBER(G4327),E4327*G4327,"")</f>
        <v/>
      </c>
      <c r="J4327" s="17"/>
      <c r="K4327" s="18"/>
      <c r="L4327" s="174">
        <v>0</v>
      </c>
    </row>
    <row r="4328" spans="1:12" hidden="1" x14ac:dyDescent="0.25">
      <c r="A4328" s="186"/>
      <c r="B4328" s="179"/>
      <c r="C4328" s="20"/>
      <c r="D4328" s="20"/>
      <c r="E4328" s="21"/>
      <c r="F4328" s="22"/>
      <c r="G4328" s="46" t="s">
        <v>1079</v>
      </c>
      <c r="H4328" s="20"/>
      <c r="I4328" s="46" t="str">
        <f>IF(ISNUMBER(G4328),E4328*G4328,"")</f>
        <v/>
      </c>
      <c r="J4328" s="69"/>
      <c r="K4328" s="70"/>
      <c r="L4328" s="174">
        <v>0</v>
      </c>
    </row>
    <row r="4329" spans="1:12" hidden="1" x14ac:dyDescent="0.25">
      <c r="A4329" s="186"/>
      <c r="B4329" s="179"/>
      <c r="C4329" s="25" t="s">
        <v>2576</v>
      </c>
      <c r="D4329" s="25" t="s">
        <v>1629</v>
      </c>
      <c r="E4329" s="26">
        <v>2</v>
      </c>
      <c r="F4329" s="27" t="s">
        <v>2575</v>
      </c>
      <c r="G4329" s="46">
        <v>37.686500000000002</v>
      </c>
      <c r="H4329" s="27" t="s">
        <v>2577</v>
      </c>
      <c r="I4329" s="46">
        <f>IF(ISNUMBER(G4329),E4329*G4329,"")</f>
        <v>75.373000000000005</v>
      </c>
      <c r="J4329" s="28">
        <f>SUM(I4329:I4331)</f>
        <v>86.105454000000009</v>
      </c>
      <c r="K4329" s="29"/>
      <c r="L4329" s="174">
        <v>0</v>
      </c>
    </row>
    <row r="4330" spans="1:12" hidden="1" x14ac:dyDescent="0.25">
      <c r="A4330" s="186"/>
      <c r="B4330" s="179"/>
      <c r="C4330" s="25" t="s">
        <v>2571</v>
      </c>
      <c r="D4330" s="25" t="s">
        <v>1366</v>
      </c>
      <c r="E4330" s="26">
        <v>9.6000000000000002E-2</v>
      </c>
      <c r="F4330" s="27" t="s">
        <v>2575</v>
      </c>
      <c r="G4330" s="46">
        <v>16.881499999999999</v>
      </c>
      <c r="H4330" s="27" t="s">
        <v>93</v>
      </c>
      <c r="I4330" s="46">
        <f>IF(ISNUMBER(G4330),E4330*G4330,"")</f>
        <v>1.6206239999999998</v>
      </c>
      <c r="J4330" s="69"/>
      <c r="K4330" s="70"/>
      <c r="L4330" s="174">
        <v>0</v>
      </c>
    </row>
    <row r="4331" spans="1:12" hidden="1" x14ac:dyDescent="0.25">
      <c r="A4331" s="186"/>
      <c r="B4331" s="179"/>
      <c r="C4331" s="25" t="s">
        <v>1831</v>
      </c>
      <c r="D4331" s="25" t="s">
        <v>1366</v>
      </c>
      <c r="E4331" s="26">
        <v>0.47599999999999998</v>
      </c>
      <c r="F4331" s="27" t="s">
        <v>2575</v>
      </c>
      <c r="G4331" s="46">
        <v>19.142499999999998</v>
      </c>
      <c r="H4331" s="27" t="s">
        <v>314</v>
      </c>
      <c r="I4331" s="46">
        <f>IF(ISNUMBER(G4331),E4331*G4331,"")</f>
        <v>9.1118299999999994</v>
      </c>
      <c r="J4331" s="69"/>
      <c r="K4331" s="70"/>
      <c r="L4331" s="174">
        <v>0</v>
      </c>
    </row>
    <row r="4332" spans="1:12" hidden="1" x14ac:dyDescent="0.25">
      <c r="A4332" s="186"/>
      <c r="B4332" s="179"/>
      <c r="C4332" s="25"/>
      <c r="D4332" s="25"/>
      <c r="E4332" s="26"/>
      <c r="F4332" s="27"/>
      <c r="G4332" s="46" t="s">
        <v>1079</v>
      </c>
      <c r="H4332" s="27"/>
      <c r="I4332" s="46" t="str">
        <f>IF(ISNUMBER(G4332),E4332*G4332,"")</f>
        <v/>
      </c>
      <c r="J4332" s="69"/>
      <c r="K4332" s="70"/>
      <c r="L4332" s="174">
        <v>0</v>
      </c>
    </row>
    <row r="4333" spans="1:12" ht="15.75" hidden="1" thickBot="1" x14ac:dyDescent="0.3">
      <c r="A4333" s="180" t="s">
        <v>2578</v>
      </c>
      <c r="B4333" s="178" t="str">
        <f>INDEX(Orçamentária!A:B,MATCH(Composições!A4333,Orçamentária!A:A,0),2)</f>
        <v>Impermeabilização com Manta Asfáltica</v>
      </c>
      <c r="C4333" s="30"/>
      <c r="D4333" s="13" t="str">
        <f>TRIM(INDEX(Orçamentária!C:C,MATCH(Composições!A4333,Orçamentária!A:A,0),1))</f>
        <v>m2</v>
      </c>
      <c r="E4333" s="14"/>
      <c r="F4333" s="15" t="s">
        <v>2579</v>
      </c>
      <c r="G4333" s="40" t="s">
        <v>1079</v>
      </c>
      <c r="H4333" s="16"/>
      <c r="I4333" s="16" t="str">
        <f>IF(ISNUMBER(G4333),E4333*G4333,"")</f>
        <v/>
      </c>
      <c r="J4333" s="17"/>
      <c r="K4333" s="18"/>
      <c r="L4333" s="174">
        <v>0</v>
      </c>
    </row>
    <row r="4334" spans="1:12" hidden="1" x14ac:dyDescent="0.25">
      <c r="A4334" s="186"/>
      <c r="B4334" s="179"/>
      <c r="C4334" s="20"/>
      <c r="D4334" s="20"/>
      <c r="E4334" s="21"/>
      <c r="F4334" s="22"/>
      <c r="G4334" s="46" t="s">
        <v>1079</v>
      </c>
      <c r="H4334" s="20"/>
      <c r="I4334" s="46" t="str">
        <f>IF(ISNUMBER(G4334),E4334*G4334,"")</f>
        <v/>
      </c>
      <c r="J4334" s="69"/>
      <c r="K4334" s="70"/>
      <c r="L4334" s="174">
        <v>0</v>
      </c>
    </row>
    <row r="4335" spans="1:12" ht="25.5" hidden="1" x14ac:dyDescent="0.25">
      <c r="A4335" s="186"/>
      <c r="B4335" s="179"/>
      <c r="C4335" s="25" t="s">
        <v>2569</v>
      </c>
      <c r="D4335" s="25" t="s">
        <v>208</v>
      </c>
      <c r="E4335" s="26">
        <v>0.61499999999999999</v>
      </c>
      <c r="F4335" s="27" t="s">
        <v>2580</v>
      </c>
      <c r="G4335" s="46">
        <v>15.000499999999999</v>
      </c>
      <c r="H4335" s="27" t="s">
        <v>2570</v>
      </c>
      <c r="I4335" s="46">
        <f>IF(ISNUMBER(G4335),E4335*G4335,"")</f>
        <v>9.2253074999999995</v>
      </c>
      <c r="J4335" s="28">
        <f>SUM(I4335:I4339)</f>
        <v>83.073167999999981</v>
      </c>
      <c r="K4335" s="29"/>
      <c r="L4335" s="174">
        <v>0</v>
      </c>
    </row>
    <row r="4336" spans="1:12" ht="25.5" hidden="1" x14ac:dyDescent="0.25">
      <c r="A4336" s="186"/>
      <c r="B4336" s="179"/>
      <c r="C4336" s="25" t="s">
        <v>2581</v>
      </c>
      <c r="D4336" s="25" t="s">
        <v>1795</v>
      </c>
      <c r="E4336" s="26">
        <v>1.125</v>
      </c>
      <c r="F4336" s="27" t="s">
        <v>2580</v>
      </c>
      <c r="G4336" s="46">
        <v>45.438499999999998</v>
      </c>
      <c r="H4336" s="27" t="s">
        <v>2582</v>
      </c>
      <c r="I4336" s="46">
        <f>IF(ISNUMBER(G4336),E4336*G4336,"")</f>
        <v>51.118312499999995</v>
      </c>
      <c r="J4336" s="69"/>
      <c r="K4336" s="70"/>
      <c r="L4336" s="174">
        <v>0</v>
      </c>
    </row>
    <row r="4337" spans="1:12" hidden="1" x14ac:dyDescent="0.25">
      <c r="A4337" s="186"/>
      <c r="B4337" s="179"/>
      <c r="C4337" s="25" t="s">
        <v>2583</v>
      </c>
      <c r="D4337" s="25" t="s">
        <v>1629</v>
      </c>
      <c r="E4337" s="26">
        <v>0.26</v>
      </c>
      <c r="F4337" s="27" t="s">
        <v>2580</v>
      </c>
      <c r="G4337" s="46">
        <v>5.1584999999999992</v>
      </c>
      <c r="H4337" s="27" t="s">
        <v>2584</v>
      </c>
      <c r="I4337" s="46">
        <f>IF(ISNUMBER(G4337),E4337*G4337,"")</f>
        <v>1.3412099999999998</v>
      </c>
      <c r="J4337" s="69"/>
      <c r="K4337" s="70"/>
      <c r="L4337" s="174">
        <v>0</v>
      </c>
    </row>
    <row r="4338" spans="1:12" hidden="1" x14ac:dyDescent="0.25">
      <c r="A4338" s="186"/>
      <c r="B4338" s="179"/>
      <c r="C4338" s="25" t="s">
        <v>2571</v>
      </c>
      <c r="D4338" s="25" t="s">
        <v>1366</v>
      </c>
      <c r="E4338" s="26">
        <v>0.192</v>
      </c>
      <c r="F4338" s="27" t="s">
        <v>2580</v>
      </c>
      <c r="G4338" s="46">
        <v>16.881499999999999</v>
      </c>
      <c r="H4338" s="27" t="s">
        <v>93</v>
      </c>
      <c r="I4338" s="46">
        <f>IF(ISNUMBER(G4338),E4338*G4338,"")</f>
        <v>3.2412479999999997</v>
      </c>
      <c r="J4338" s="69"/>
      <c r="K4338" s="70"/>
      <c r="L4338" s="174">
        <v>0</v>
      </c>
    </row>
    <row r="4339" spans="1:12" hidden="1" x14ac:dyDescent="0.25">
      <c r="A4339" s="186"/>
      <c r="B4339" s="179"/>
      <c r="C4339" s="25" t="s">
        <v>1831</v>
      </c>
      <c r="D4339" s="25" t="s">
        <v>1366</v>
      </c>
      <c r="E4339" s="26">
        <v>0.94799999999999995</v>
      </c>
      <c r="F4339" s="27" t="s">
        <v>2580</v>
      </c>
      <c r="G4339" s="46">
        <v>19.142499999999998</v>
      </c>
      <c r="H4339" s="27" t="s">
        <v>314</v>
      </c>
      <c r="I4339" s="46">
        <f>IF(ISNUMBER(G4339),E4339*G4339,"")</f>
        <v>18.147089999999999</v>
      </c>
      <c r="J4339" s="69"/>
      <c r="K4339" s="70"/>
      <c r="L4339" s="174">
        <v>0</v>
      </c>
    </row>
    <row r="4340" spans="1:12" hidden="1" x14ac:dyDescent="0.25">
      <c r="A4340" s="186"/>
      <c r="B4340" s="179"/>
      <c r="C4340" s="25"/>
      <c r="D4340" s="25"/>
      <c r="E4340" s="26"/>
      <c r="F4340" s="27"/>
      <c r="G4340" s="46" t="s">
        <v>1079</v>
      </c>
      <c r="H4340" s="27"/>
      <c r="I4340" s="46" t="str">
        <f>IF(ISNUMBER(G4340),E4340*G4340,"")</f>
        <v/>
      </c>
      <c r="J4340" s="69"/>
      <c r="K4340" s="70"/>
      <c r="L4340" s="174">
        <v>0</v>
      </c>
    </row>
    <row r="4341" spans="1:12" ht="15.75" hidden="1" thickBot="1" x14ac:dyDescent="0.3">
      <c r="A4341" s="180" t="s">
        <v>2585</v>
      </c>
      <c r="B4341" s="178" t="str">
        <f>INDEX(Orçamentária!A:B,MATCH(Composições!A4341,Orçamentária!A:A,0),2)</f>
        <v>Impermeabilização com manta asfáltica aluminizada</v>
      </c>
      <c r="C4341" s="30"/>
      <c r="D4341" s="13" t="str">
        <f>TRIM(INDEX(Orçamentária!C:C,MATCH(Composições!A4341,Orçamentária!A:A,0),1))</f>
        <v>m2</v>
      </c>
      <c r="E4341" s="14"/>
      <c r="F4341" s="15" t="s">
        <v>2579</v>
      </c>
      <c r="G4341" s="40" t="s">
        <v>1079</v>
      </c>
      <c r="H4341" s="16"/>
      <c r="I4341" s="16" t="str">
        <f>IF(ISNUMBER(G4341),E4341*G4341,"")</f>
        <v/>
      </c>
      <c r="J4341" s="17"/>
      <c r="K4341" s="18"/>
      <c r="L4341" s="174">
        <v>0</v>
      </c>
    </row>
    <row r="4342" spans="1:12" hidden="1" x14ac:dyDescent="0.25">
      <c r="A4342" s="186"/>
      <c r="B4342" s="179"/>
      <c r="C4342" s="20"/>
      <c r="D4342" s="20"/>
      <c r="E4342" s="21"/>
      <c r="F4342" s="22"/>
      <c r="G4342" s="46" t="s">
        <v>1079</v>
      </c>
      <c r="H4342" s="20"/>
      <c r="I4342" s="46" t="str">
        <f>IF(ISNUMBER(G4342),E4342*G4342,"")</f>
        <v/>
      </c>
      <c r="J4342" s="69"/>
      <c r="K4342" s="70"/>
      <c r="L4342" s="174">
        <v>0</v>
      </c>
    </row>
    <row r="4343" spans="1:12" ht="25.5" hidden="1" x14ac:dyDescent="0.25">
      <c r="A4343" s="186"/>
      <c r="B4343" s="179"/>
      <c r="C4343" s="25" t="s">
        <v>2569</v>
      </c>
      <c r="D4343" s="25" t="s">
        <v>208</v>
      </c>
      <c r="E4343" s="26">
        <v>0.61499999999999999</v>
      </c>
      <c r="F4343" s="27" t="s">
        <v>2580</v>
      </c>
      <c r="G4343" s="46">
        <v>15.000499999999999</v>
      </c>
      <c r="H4343" s="27" t="s">
        <v>2570</v>
      </c>
      <c r="I4343" s="46">
        <f>IF(ISNUMBER(G4343),E4343*G4343,"")</f>
        <v>9.2253074999999995</v>
      </c>
      <c r="J4343" s="28">
        <f>SUM(I4343:I4347)</f>
        <v>31.954855499999997</v>
      </c>
      <c r="K4343" s="29"/>
      <c r="L4343" s="174">
        <v>0</v>
      </c>
    </row>
    <row r="4344" spans="1:12" hidden="1" x14ac:dyDescent="0.25">
      <c r="A4344" s="186"/>
      <c r="B4344" s="179"/>
      <c r="C4344" s="25" t="s">
        <v>2586</v>
      </c>
      <c r="D4344" s="25" t="s">
        <v>1795</v>
      </c>
      <c r="E4344" s="26">
        <v>1.125</v>
      </c>
      <c r="F4344" s="27" t="s">
        <v>2580</v>
      </c>
      <c r="G4344" s="46">
        <v>0</v>
      </c>
      <c r="H4344" s="27" t="s">
        <v>2587</v>
      </c>
      <c r="I4344" s="46">
        <f>IF(ISNUMBER(G4344),E4344*G4344,"")</f>
        <v>0</v>
      </c>
      <c r="J4344" s="69"/>
      <c r="K4344" s="70"/>
      <c r="L4344" s="174">
        <v>0</v>
      </c>
    </row>
    <row r="4345" spans="1:12" hidden="1" x14ac:dyDescent="0.25">
      <c r="A4345" s="186"/>
      <c r="B4345" s="179"/>
      <c r="C4345" s="25" t="s">
        <v>2583</v>
      </c>
      <c r="D4345" s="25" t="s">
        <v>1629</v>
      </c>
      <c r="E4345" s="26">
        <v>0.26</v>
      </c>
      <c r="F4345" s="27" t="s">
        <v>2580</v>
      </c>
      <c r="G4345" s="46">
        <v>5.1584999999999992</v>
      </c>
      <c r="H4345" s="27" t="s">
        <v>2584</v>
      </c>
      <c r="I4345" s="46">
        <f>IF(ISNUMBER(G4345),E4345*G4345,"")</f>
        <v>1.3412099999999998</v>
      </c>
      <c r="J4345" s="69"/>
      <c r="K4345" s="70"/>
      <c r="L4345" s="174">
        <v>0</v>
      </c>
    </row>
    <row r="4346" spans="1:12" hidden="1" x14ac:dyDescent="0.25">
      <c r="A4346" s="186"/>
      <c r="B4346" s="179"/>
      <c r="C4346" s="25" t="s">
        <v>2571</v>
      </c>
      <c r="D4346" s="25" t="s">
        <v>1366</v>
      </c>
      <c r="E4346" s="26">
        <v>0.192</v>
      </c>
      <c r="F4346" s="27" t="s">
        <v>2580</v>
      </c>
      <c r="G4346" s="46">
        <v>16.881499999999999</v>
      </c>
      <c r="H4346" s="27" t="s">
        <v>93</v>
      </c>
      <c r="I4346" s="46">
        <f>IF(ISNUMBER(G4346),E4346*G4346,"")</f>
        <v>3.2412479999999997</v>
      </c>
      <c r="J4346" s="69"/>
      <c r="K4346" s="70"/>
      <c r="L4346" s="174">
        <v>0</v>
      </c>
    </row>
    <row r="4347" spans="1:12" hidden="1" x14ac:dyDescent="0.25">
      <c r="A4347" s="186"/>
      <c r="B4347" s="179"/>
      <c r="C4347" s="25" t="s">
        <v>1831</v>
      </c>
      <c r="D4347" s="25" t="s">
        <v>1366</v>
      </c>
      <c r="E4347" s="26">
        <v>0.94799999999999995</v>
      </c>
      <c r="F4347" s="27" t="s">
        <v>2580</v>
      </c>
      <c r="G4347" s="46">
        <v>19.142499999999998</v>
      </c>
      <c r="H4347" s="27" t="s">
        <v>314</v>
      </c>
      <c r="I4347" s="46">
        <f>IF(ISNUMBER(G4347),E4347*G4347,"")</f>
        <v>18.147089999999999</v>
      </c>
      <c r="J4347" s="69"/>
      <c r="K4347" s="70"/>
      <c r="L4347" s="174">
        <v>0</v>
      </c>
    </row>
    <row r="4348" spans="1:12" hidden="1" x14ac:dyDescent="0.25">
      <c r="A4348" s="186"/>
      <c r="B4348" s="179"/>
      <c r="C4348" s="25"/>
      <c r="D4348" s="25"/>
      <c r="E4348" s="26"/>
      <c r="F4348" s="27"/>
      <c r="G4348" s="46" t="s">
        <v>1079</v>
      </c>
      <c r="H4348" s="27"/>
      <c r="I4348" s="46" t="str">
        <f>IF(ISNUMBER(G4348),E4348*G4348,"")</f>
        <v/>
      </c>
      <c r="J4348" s="69"/>
      <c r="K4348" s="70"/>
      <c r="L4348" s="174">
        <v>0</v>
      </c>
    </row>
    <row r="4349" spans="1:12" ht="15.75" hidden="1" thickBot="1" x14ac:dyDescent="0.3">
      <c r="A4349" s="180" t="s">
        <v>2588</v>
      </c>
      <c r="B4349" s="178" t="str">
        <f>INDEX(Orçamentária!A:B,MATCH(Composições!A4349,Orçamentária!A:A,0),2)</f>
        <v>Impermeabilização com manta elastomérica de etileno-propileno-dieno-monômero (EPDM)</v>
      </c>
      <c r="C4349" s="30"/>
      <c r="D4349" s="13" t="str">
        <f>TRIM(INDEX(Orçamentária!C:C,MATCH(Composições!A4349,Orçamentária!A:A,0),1))</f>
        <v>m2</v>
      </c>
      <c r="E4349" s="14"/>
      <c r="F4349" s="15" t="s">
        <v>2589</v>
      </c>
      <c r="G4349" s="40" t="s">
        <v>1079</v>
      </c>
      <c r="H4349" s="16"/>
      <c r="I4349" s="16" t="str">
        <f>IF(ISNUMBER(G4349),E4349*G4349,"")</f>
        <v/>
      </c>
      <c r="J4349" s="17"/>
      <c r="K4349" s="18"/>
      <c r="L4349" s="174">
        <v>0</v>
      </c>
    </row>
    <row r="4350" spans="1:12" hidden="1" x14ac:dyDescent="0.25">
      <c r="A4350" s="186"/>
      <c r="B4350" s="179"/>
      <c r="C4350" s="20"/>
      <c r="D4350" s="20"/>
      <c r="E4350" s="21"/>
      <c r="F4350" s="22"/>
      <c r="G4350" s="46" t="s">
        <v>1079</v>
      </c>
      <c r="H4350" s="20"/>
      <c r="I4350" s="46" t="str">
        <f>IF(ISNUMBER(G4350),E4350*G4350,"")</f>
        <v/>
      </c>
      <c r="J4350" s="69"/>
      <c r="K4350" s="70"/>
      <c r="L4350" s="174">
        <v>0</v>
      </c>
    </row>
    <row r="4351" spans="1:12" hidden="1" x14ac:dyDescent="0.25">
      <c r="A4351" s="186"/>
      <c r="B4351" s="179"/>
      <c r="C4351" s="25" t="s">
        <v>1831</v>
      </c>
      <c r="D4351" s="25" t="s">
        <v>1366</v>
      </c>
      <c r="E4351" s="26">
        <v>0.5</v>
      </c>
      <c r="F4351" s="27" t="s">
        <v>2590</v>
      </c>
      <c r="G4351" s="46">
        <v>19.142499999999998</v>
      </c>
      <c r="H4351" s="27" t="s">
        <v>314</v>
      </c>
      <c r="I4351" s="46">
        <f>IF(ISNUMBER(G4351),E4351*G4351,"")</f>
        <v>9.5712499999999991</v>
      </c>
      <c r="J4351" s="28">
        <f>SUM(I4351:I4357)</f>
        <v>18.012</v>
      </c>
      <c r="K4351" s="29"/>
      <c r="L4351" s="174">
        <v>0</v>
      </c>
    </row>
    <row r="4352" spans="1:12" hidden="1" x14ac:dyDescent="0.25">
      <c r="A4352" s="186"/>
      <c r="B4352" s="179"/>
      <c r="C4352" s="25" t="s">
        <v>2571</v>
      </c>
      <c r="D4352" s="25" t="s">
        <v>1366</v>
      </c>
      <c r="E4352" s="26">
        <v>0.5</v>
      </c>
      <c r="F4352" s="27" t="s">
        <v>2590</v>
      </c>
      <c r="G4352" s="46">
        <v>16.881499999999999</v>
      </c>
      <c r="H4352" s="27" t="s">
        <v>93</v>
      </c>
      <c r="I4352" s="46">
        <f>IF(ISNUMBER(G4352),E4352*G4352,"")</f>
        <v>8.4407499999999995</v>
      </c>
      <c r="J4352" s="69"/>
      <c r="K4352" s="70"/>
      <c r="L4352" s="174">
        <v>0</v>
      </c>
    </row>
    <row r="4353" spans="1:12" hidden="1" x14ac:dyDescent="0.25">
      <c r="A4353" s="186"/>
      <c r="B4353" s="179"/>
      <c r="C4353" s="25" t="s">
        <v>2591</v>
      </c>
      <c r="D4353" s="25" t="s">
        <v>1629</v>
      </c>
      <c r="E4353" s="26">
        <v>0.8</v>
      </c>
      <c r="F4353" s="27" t="s">
        <v>2590</v>
      </c>
      <c r="G4353" s="46">
        <v>0</v>
      </c>
      <c r="H4353" s="27" t="s">
        <v>2592</v>
      </c>
      <c r="I4353" s="46">
        <f>IF(ISNUMBER(G4353),E4353*G4353,"")</f>
        <v>0</v>
      </c>
      <c r="J4353" s="69"/>
      <c r="K4353" s="70"/>
      <c r="L4353" s="174">
        <v>0</v>
      </c>
    </row>
    <row r="4354" spans="1:12" hidden="1" x14ac:dyDescent="0.25">
      <c r="A4354" s="186"/>
      <c r="B4354" s="179"/>
      <c r="C4354" s="25" t="s">
        <v>2593</v>
      </c>
      <c r="D4354" s="25" t="s">
        <v>208</v>
      </c>
      <c r="E4354" s="26">
        <v>0.6</v>
      </c>
      <c r="F4354" s="27" t="s">
        <v>2590</v>
      </c>
      <c r="G4354" s="46">
        <v>0</v>
      </c>
      <c r="H4354" s="27" t="s">
        <v>2592</v>
      </c>
      <c r="I4354" s="46">
        <f>IF(ISNUMBER(G4354),E4354*G4354,"")</f>
        <v>0</v>
      </c>
      <c r="J4354" s="69"/>
      <c r="K4354" s="70"/>
      <c r="L4354" s="174">
        <v>0</v>
      </c>
    </row>
    <row r="4355" spans="1:12" hidden="1" x14ac:dyDescent="0.25">
      <c r="A4355" s="186"/>
      <c r="B4355" s="179"/>
      <c r="C4355" s="25" t="s">
        <v>2594</v>
      </c>
      <c r="D4355" s="25" t="s">
        <v>189</v>
      </c>
      <c r="E4355" s="26">
        <v>1.1000000000000001</v>
      </c>
      <c r="F4355" s="27" t="s">
        <v>2590</v>
      </c>
      <c r="G4355" s="46">
        <v>0</v>
      </c>
      <c r="H4355" s="27" t="s">
        <v>2592</v>
      </c>
      <c r="I4355" s="46">
        <f>IF(ISNUMBER(G4355),E4355*G4355,"")</f>
        <v>0</v>
      </c>
      <c r="J4355" s="69"/>
      <c r="K4355" s="70"/>
      <c r="L4355" s="174">
        <v>0</v>
      </c>
    </row>
    <row r="4356" spans="1:12" hidden="1" x14ac:dyDescent="0.25">
      <c r="A4356" s="186"/>
      <c r="B4356" s="179"/>
      <c r="C4356" s="25" t="s">
        <v>2595</v>
      </c>
      <c r="D4356" s="25" t="s">
        <v>184</v>
      </c>
      <c r="E4356" s="26">
        <v>2</v>
      </c>
      <c r="F4356" s="27" t="s">
        <v>2590</v>
      </c>
      <c r="G4356" s="46">
        <v>0</v>
      </c>
      <c r="H4356" s="27" t="s">
        <v>2592</v>
      </c>
      <c r="I4356" s="46">
        <f>IF(ISNUMBER(G4356),E4356*G4356,"")</f>
        <v>0</v>
      </c>
      <c r="J4356" s="69"/>
      <c r="K4356" s="70"/>
      <c r="L4356" s="174">
        <v>0</v>
      </c>
    </row>
    <row r="4357" spans="1:12" hidden="1" x14ac:dyDescent="0.25">
      <c r="A4357" s="186"/>
      <c r="B4357" s="179"/>
      <c r="C4357" s="25" t="s">
        <v>2596</v>
      </c>
      <c r="D4357" s="25" t="s">
        <v>208</v>
      </c>
      <c r="E4357" s="26">
        <v>0.2</v>
      </c>
      <c r="F4357" s="27" t="s">
        <v>2590</v>
      </c>
      <c r="G4357" s="46">
        <v>0</v>
      </c>
      <c r="H4357" s="27" t="s">
        <v>2592</v>
      </c>
      <c r="I4357" s="46">
        <f>IF(ISNUMBER(G4357),E4357*G4357,"")</f>
        <v>0</v>
      </c>
      <c r="J4357" s="69"/>
      <c r="K4357" s="70"/>
      <c r="L4357" s="174">
        <v>0</v>
      </c>
    </row>
    <row r="4358" spans="1:12" hidden="1" x14ac:dyDescent="0.25">
      <c r="A4358" s="186"/>
      <c r="B4358" s="179"/>
      <c r="C4358" s="25"/>
      <c r="D4358" s="25"/>
      <c r="E4358" s="26"/>
      <c r="F4358" s="27"/>
      <c r="G4358" s="46" t="s">
        <v>1079</v>
      </c>
      <c r="H4358" s="27"/>
      <c r="I4358" s="46" t="str">
        <f>IF(ISNUMBER(G4358),E4358*G4358,"")</f>
        <v/>
      </c>
      <c r="J4358" s="69"/>
      <c r="K4358" s="70"/>
      <c r="L4358" s="174">
        <v>0</v>
      </c>
    </row>
    <row r="4359" spans="1:12" ht="15.75" hidden="1" thickBot="1" x14ac:dyDescent="0.3">
      <c r="A4359" s="180" t="s">
        <v>2597</v>
      </c>
      <c r="B4359" s="178" t="str">
        <f>INDEX(Orçamentária!A:B,MATCH(Composições!A4359,Orçamentária!A:A,0),2)</f>
        <v>Impermeabilização com membrana acrílica</v>
      </c>
      <c r="C4359" s="30"/>
      <c r="D4359" s="13" t="str">
        <f>TRIM(INDEX(Orçamentária!C:C,MATCH(Composições!A4359,Orçamentária!A:A,0),1))</f>
        <v>m2</v>
      </c>
      <c r="E4359" s="14"/>
      <c r="F4359" s="15" t="s">
        <v>2598</v>
      </c>
      <c r="G4359" s="40" t="s">
        <v>1079</v>
      </c>
      <c r="H4359" s="16"/>
      <c r="I4359" s="16" t="str">
        <f>IF(ISNUMBER(G4359),E4359*G4359,"")</f>
        <v/>
      </c>
      <c r="J4359" s="17"/>
      <c r="K4359" s="18"/>
      <c r="L4359" s="174">
        <v>0</v>
      </c>
    </row>
    <row r="4360" spans="1:12" hidden="1" x14ac:dyDescent="0.25">
      <c r="A4360" s="186"/>
      <c r="B4360" s="179"/>
      <c r="C4360" s="20"/>
      <c r="D4360" s="20"/>
      <c r="E4360" s="21"/>
      <c r="F4360" s="22"/>
      <c r="G4360" s="46" t="s">
        <v>1079</v>
      </c>
      <c r="H4360" s="20"/>
      <c r="I4360" s="46" t="str">
        <f>IF(ISNUMBER(G4360),E4360*G4360,"")</f>
        <v/>
      </c>
      <c r="J4360" s="69"/>
      <c r="K4360" s="70"/>
      <c r="L4360" s="174">
        <v>0</v>
      </c>
    </row>
    <row r="4361" spans="1:12" hidden="1" x14ac:dyDescent="0.25">
      <c r="A4361" s="186"/>
      <c r="B4361" s="179"/>
      <c r="C4361" s="25" t="s">
        <v>2599</v>
      </c>
      <c r="D4361" s="25" t="s">
        <v>1629</v>
      </c>
      <c r="E4361" s="26">
        <v>1.2</v>
      </c>
      <c r="F4361" s="27" t="s">
        <v>2598</v>
      </c>
      <c r="G4361" s="46">
        <v>14.591999999999999</v>
      </c>
      <c r="H4361" s="27" t="s">
        <v>2600</v>
      </c>
      <c r="I4361" s="46">
        <f>IF(ISNUMBER(G4361),E4361*G4361,"")</f>
        <v>17.510399999999997</v>
      </c>
      <c r="J4361" s="28">
        <f>SUM(I4361:I4363)</f>
        <v>30.549900499999996</v>
      </c>
      <c r="K4361" s="29"/>
      <c r="L4361" s="174">
        <v>0</v>
      </c>
    </row>
    <row r="4362" spans="1:12" hidden="1" x14ac:dyDescent="0.25">
      <c r="A4362" s="186"/>
      <c r="B4362" s="179"/>
      <c r="C4362" s="25" t="s">
        <v>2571</v>
      </c>
      <c r="D4362" s="25" t="s">
        <v>1366</v>
      </c>
      <c r="E4362" s="26">
        <v>0.11700000000000001</v>
      </c>
      <c r="F4362" s="27" t="s">
        <v>2598</v>
      </c>
      <c r="G4362" s="46">
        <v>16.881499999999999</v>
      </c>
      <c r="H4362" s="27" t="s">
        <v>93</v>
      </c>
      <c r="I4362" s="46">
        <f>IF(ISNUMBER(G4362),E4362*G4362,"")</f>
        <v>1.9751354999999999</v>
      </c>
      <c r="J4362" s="69"/>
      <c r="K4362" s="70"/>
      <c r="L4362" s="174">
        <v>0</v>
      </c>
    </row>
    <row r="4363" spans="1:12" hidden="1" x14ac:dyDescent="0.25">
      <c r="A4363" s="186"/>
      <c r="B4363" s="179"/>
      <c r="C4363" s="25" t="s">
        <v>1831</v>
      </c>
      <c r="D4363" s="25" t="s">
        <v>1366</v>
      </c>
      <c r="E4363" s="26">
        <v>0.57799999999999996</v>
      </c>
      <c r="F4363" s="27" t="s">
        <v>2598</v>
      </c>
      <c r="G4363" s="46">
        <v>19.142499999999998</v>
      </c>
      <c r="H4363" s="27" t="s">
        <v>314</v>
      </c>
      <c r="I4363" s="46">
        <f>IF(ISNUMBER(G4363),E4363*G4363,"")</f>
        <v>11.064364999999999</v>
      </c>
      <c r="J4363" s="69"/>
      <c r="K4363" s="70"/>
      <c r="L4363" s="174">
        <v>0</v>
      </c>
    </row>
    <row r="4364" spans="1:12" hidden="1" x14ac:dyDescent="0.25">
      <c r="A4364" s="186"/>
      <c r="B4364" s="179"/>
      <c r="C4364" s="25"/>
      <c r="D4364" s="25"/>
      <c r="E4364" s="26"/>
      <c r="F4364" s="27"/>
      <c r="G4364" s="46" t="s">
        <v>1079</v>
      </c>
      <c r="H4364" s="27"/>
      <c r="I4364" s="46" t="str">
        <f>IF(ISNUMBER(G4364),E4364*G4364,"")</f>
        <v/>
      </c>
      <c r="J4364" s="69"/>
      <c r="K4364" s="70"/>
      <c r="L4364" s="174">
        <v>0</v>
      </c>
    </row>
    <row r="4365" spans="1:12" ht="15.75" hidden="1" thickBot="1" x14ac:dyDescent="0.3">
      <c r="A4365" s="180" t="s">
        <v>2601</v>
      </c>
      <c r="B4365" s="178" t="str">
        <f>INDEX(Orçamentária!A:B,MATCH(Composições!A4365,Orçamentária!A:A,0),2)</f>
        <v>Asfalto elastomérico para colagem de manta asfáltica</v>
      </c>
      <c r="C4365" s="30"/>
      <c r="D4365" s="13" t="str">
        <f>TRIM(INDEX(Orçamentária!C:C,MATCH(Composições!A4365,Orçamentária!A:A,0),1))</f>
        <v>m2</v>
      </c>
      <c r="E4365" s="14"/>
      <c r="F4365" s="15" t="s">
        <v>2598</v>
      </c>
      <c r="G4365" s="40" t="s">
        <v>1079</v>
      </c>
      <c r="H4365" s="16"/>
      <c r="I4365" s="16" t="str">
        <f>IF(ISNUMBER(G4365),E4365*G4365,"")</f>
        <v/>
      </c>
      <c r="J4365" s="17"/>
      <c r="K4365" s="18"/>
      <c r="L4365" s="174">
        <v>0</v>
      </c>
    </row>
    <row r="4366" spans="1:12" hidden="1" x14ac:dyDescent="0.25">
      <c r="A4366" s="186"/>
      <c r="B4366" s="179"/>
      <c r="C4366" s="20"/>
      <c r="D4366" s="20"/>
      <c r="E4366" s="21"/>
      <c r="F4366" s="22"/>
      <c r="G4366" s="46" t="s">
        <v>1079</v>
      </c>
      <c r="H4366" s="20"/>
      <c r="I4366" s="46" t="str">
        <f>IF(ISNUMBER(G4366),E4366*G4366,"")</f>
        <v/>
      </c>
      <c r="J4366" s="69"/>
      <c r="K4366" s="70"/>
      <c r="L4366" s="174">
        <v>0</v>
      </c>
    </row>
    <row r="4367" spans="1:12" hidden="1" x14ac:dyDescent="0.25">
      <c r="A4367" s="186"/>
      <c r="B4367" s="179"/>
      <c r="C4367" s="25" t="s">
        <v>2602</v>
      </c>
      <c r="D4367" s="25" t="s">
        <v>1629</v>
      </c>
      <c r="E4367" s="26">
        <v>2</v>
      </c>
      <c r="F4367" s="27" t="s">
        <v>2598</v>
      </c>
      <c r="G4367" s="46" t="s">
        <v>1079</v>
      </c>
      <c r="H4367" s="27" t="s">
        <v>33</v>
      </c>
      <c r="I4367" s="46" t="str">
        <f>IF(ISNUMBER(G4367),E4367*G4367,"")</f>
        <v/>
      </c>
      <c r="J4367" s="28">
        <f>SUM(I4367:I4368)</f>
        <v>3.8285</v>
      </c>
      <c r="K4367" s="29"/>
      <c r="L4367" s="174">
        <v>0</v>
      </c>
    </row>
    <row r="4368" spans="1:12" hidden="1" x14ac:dyDescent="0.25">
      <c r="A4368" s="186"/>
      <c r="B4368" s="179"/>
      <c r="C4368" s="25" t="s">
        <v>1831</v>
      </c>
      <c r="D4368" s="25" t="s">
        <v>1366</v>
      </c>
      <c r="E4368" s="26">
        <v>0.2</v>
      </c>
      <c r="F4368" s="27" t="s">
        <v>2598</v>
      </c>
      <c r="G4368" s="46">
        <v>19.142499999999998</v>
      </c>
      <c r="H4368" s="27" t="s">
        <v>314</v>
      </c>
      <c r="I4368" s="46">
        <f>IF(ISNUMBER(G4368),E4368*G4368,"")</f>
        <v>3.8285</v>
      </c>
      <c r="J4368" s="69"/>
      <c r="K4368" s="70"/>
      <c r="L4368" s="174">
        <v>0</v>
      </c>
    </row>
    <row r="4369" spans="1:12" hidden="1" x14ac:dyDescent="0.25">
      <c r="A4369" s="186"/>
      <c r="B4369" s="179"/>
      <c r="C4369" s="25"/>
      <c r="D4369" s="25"/>
      <c r="E4369" s="26"/>
      <c r="F4369" s="27"/>
      <c r="G4369" s="46" t="s">
        <v>1079</v>
      </c>
      <c r="H4369" s="27"/>
      <c r="I4369" s="46" t="str">
        <f>IF(ISNUMBER(G4369),E4369*G4369,"")</f>
        <v/>
      </c>
      <c r="J4369" s="69"/>
      <c r="K4369" s="70"/>
      <c r="L4369" s="174">
        <v>0</v>
      </c>
    </row>
    <row r="4370" spans="1:12" ht="25.5" hidden="1" x14ac:dyDescent="0.25">
      <c r="A4370" s="186"/>
      <c r="B4370" s="179"/>
      <c r="C4370" s="39" t="s">
        <v>2603</v>
      </c>
      <c r="D4370" s="25"/>
      <c r="E4370" s="26"/>
      <c r="F4370" s="27"/>
      <c r="G4370" s="46" t="s">
        <v>1079</v>
      </c>
      <c r="H4370" s="27"/>
      <c r="I4370" s="46" t="str">
        <f>IF(ISNUMBER(G4370),E4370*G4370,"")</f>
        <v/>
      </c>
      <c r="J4370" s="69"/>
      <c r="K4370" s="70"/>
      <c r="L4370" s="174">
        <v>0</v>
      </c>
    </row>
    <row r="4371" spans="1:12" ht="24.75" hidden="1" x14ac:dyDescent="0.25">
      <c r="A4371" s="186"/>
      <c r="B4371" s="179"/>
      <c r="C4371" s="173" t="s">
        <v>2604</v>
      </c>
      <c r="D4371" s="25"/>
      <c r="E4371" s="26"/>
      <c r="F4371" s="27"/>
      <c r="G4371" s="46" t="s">
        <v>1079</v>
      </c>
      <c r="H4371" s="27"/>
      <c r="I4371" s="46" t="str">
        <f>IF(ISNUMBER(G4371),E4371*G4371,"")</f>
        <v/>
      </c>
      <c r="J4371" s="69"/>
      <c r="K4371" s="70"/>
      <c r="L4371" s="174">
        <v>0</v>
      </c>
    </row>
    <row r="4372" spans="1:12" hidden="1" x14ac:dyDescent="0.25">
      <c r="A4372" s="186"/>
      <c r="B4372" s="179"/>
      <c r="C4372" s="25"/>
      <c r="D4372" s="25"/>
      <c r="E4372" s="26"/>
      <c r="F4372" s="27"/>
      <c r="G4372" s="46" t="s">
        <v>1079</v>
      </c>
      <c r="H4372" s="27"/>
      <c r="I4372" s="46" t="str">
        <f>IF(ISNUMBER(G4372),E4372*G4372,"")</f>
        <v/>
      </c>
      <c r="J4372" s="69"/>
      <c r="K4372" s="70"/>
      <c r="L4372" s="174">
        <v>0</v>
      </c>
    </row>
    <row r="4373" spans="1:12" ht="15.75" hidden="1" thickBot="1" x14ac:dyDescent="0.3">
      <c r="A4373" s="180" t="s">
        <v>2605</v>
      </c>
      <c r="B4373" s="178" t="str">
        <f>INDEX(Orçamentária!A:B,MATCH(Composições!A4373,Orçamentária!A:A,0),2)</f>
        <v>Impermeabilização com manta dupla (com maçarico)</v>
      </c>
      <c r="C4373" s="30"/>
      <c r="D4373" s="13" t="str">
        <f>TRIM(INDEX(Orçamentária!C:C,MATCH(Composições!A4373,Orçamentária!A:A,0),1))</f>
        <v>m2</v>
      </c>
      <c r="E4373" s="14"/>
      <c r="F4373" s="15" t="s">
        <v>2606</v>
      </c>
      <c r="G4373" s="40" t="s">
        <v>1079</v>
      </c>
      <c r="H4373" s="16"/>
      <c r="I4373" s="16" t="str">
        <f>IF(ISNUMBER(G4373),E4373*G4373,"")</f>
        <v/>
      </c>
      <c r="J4373" s="17"/>
      <c r="K4373" s="18"/>
      <c r="L4373" s="174">
        <v>0</v>
      </c>
    </row>
    <row r="4374" spans="1:12" hidden="1" x14ac:dyDescent="0.25">
      <c r="A4374" s="186"/>
      <c r="B4374" s="179"/>
      <c r="C4374" s="20"/>
      <c r="D4374" s="20"/>
      <c r="E4374" s="21"/>
      <c r="F4374" s="22"/>
      <c r="G4374" s="46" t="s">
        <v>1079</v>
      </c>
      <c r="H4374" s="20"/>
      <c r="I4374" s="46" t="str">
        <f>IF(ISNUMBER(G4374),E4374*G4374,"")</f>
        <v/>
      </c>
      <c r="J4374" s="69"/>
      <c r="K4374" s="70"/>
      <c r="L4374" s="174">
        <v>0</v>
      </c>
    </row>
    <row r="4375" spans="1:12" ht="25.5" hidden="1" x14ac:dyDescent="0.25">
      <c r="A4375" s="186"/>
      <c r="B4375" s="179"/>
      <c r="C4375" s="25" t="s">
        <v>2569</v>
      </c>
      <c r="D4375" s="25" t="s">
        <v>208</v>
      </c>
      <c r="E4375" s="26">
        <v>0.61499999999999999</v>
      </c>
      <c r="F4375" s="27" t="s">
        <v>2606</v>
      </c>
      <c r="G4375" s="46">
        <v>15.000499999999999</v>
      </c>
      <c r="H4375" s="27" t="s">
        <v>2570</v>
      </c>
      <c r="I4375" s="46">
        <f>IF(ISNUMBER(G4375),E4375*G4375,"")</f>
        <v>9.2253074999999995</v>
      </c>
      <c r="J4375" s="28">
        <f>SUM(I4375:I4380)</f>
        <v>135.66784699999999</v>
      </c>
      <c r="K4375" s="29"/>
      <c r="L4375" s="174">
        <v>0</v>
      </c>
    </row>
    <row r="4376" spans="1:12" ht="25.5" hidden="1" x14ac:dyDescent="0.25">
      <c r="A4376" s="186"/>
      <c r="B4376" s="179"/>
      <c r="C4376" s="25" t="s">
        <v>2607</v>
      </c>
      <c r="D4376" s="25" t="s">
        <v>1795</v>
      </c>
      <c r="E4376" s="26">
        <v>1.125</v>
      </c>
      <c r="F4376" s="27" t="s">
        <v>2606</v>
      </c>
      <c r="G4376" s="46">
        <v>37.002499999999998</v>
      </c>
      <c r="H4376" s="27" t="s">
        <v>2608</v>
      </c>
      <c r="I4376" s="46">
        <f>IF(ISNUMBER(G4376),E4376*G4376,"")</f>
        <v>41.627812499999997</v>
      </c>
      <c r="J4376" s="69"/>
      <c r="K4376" s="70"/>
      <c r="L4376" s="174">
        <v>0</v>
      </c>
    </row>
    <row r="4377" spans="1:12" ht="25.5" hidden="1" x14ac:dyDescent="0.25">
      <c r="A4377" s="186"/>
      <c r="B4377" s="179"/>
      <c r="C4377" s="25" t="s">
        <v>2581</v>
      </c>
      <c r="D4377" s="25" t="s">
        <v>1795</v>
      </c>
      <c r="E4377" s="26">
        <v>1.125</v>
      </c>
      <c r="F4377" s="27" t="s">
        <v>2606</v>
      </c>
      <c r="G4377" s="46">
        <v>45.438499999999998</v>
      </c>
      <c r="H4377" s="27" t="s">
        <v>2582</v>
      </c>
      <c r="I4377" s="46">
        <f>IF(ISNUMBER(G4377),E4377*G4377,"")</f>
        <v>51.118312499999995</v>
      </c>
      <c r="J4377" s="69"/>
      <c r="K4377" s="70"/>
      <c r="L4377" s="174">
        <v>0</v>
      </c>
    </row>
    <row r="4378" spans="1:12" hidden="1" x14ac:dyDescent="0.25">
      <c r="A4378" s="186"/>
      <c r="B4378" s="179"/>
      <c r="C4378" s="25" t="s">
        <v>2583</v>
      </c>
      <c r="D4378" s="25" t="s">
        <v>1629</v>
      </c>
      <c r="E4378" s="26">
        <v>0.52</v>
      </c>
      <c r="F4378" s="27" t="s">
        <v>2606</v>
      </c>
      <c r="G4378" s="46">
        <v>5.1584999999999992</v>
      </c>
      <c r="H4378" s="27" t="s">
        <v>2584</v>
      </c>
      <c r="I4378" s="46">
        <f>IF(ISNUMBER(G4378),E4378*G4378,"")</f>
        <v>2.6824199999999996</v>
      </c>
      <c r="J4378" s="69"/>
      <c r="K4378" s="70"/>
      <c r="L4378" s="174">
        <v>0</v>
      </c>
    </row>
    <row r="4379" spans="1:12" hidden="1" x14ac:dyDescent="0.25">
      <c r="A4379" s="186"/>
      <c r="B4379" s="179"/>
      <c r="C4379" s="25" t="s">
        <v>2571</v>
      </c>
      <c r="D4379" s="25" t="s">
        <v>1366</v>
      </c>
      <c r="E4379" s="26">
        <v>0.27800000000000002</v>
      </c>
      <c r="F4379" s="27" t="s">
        <v>2606</v>
      </c>
      <c r="G4379" s="46">
        <v>16.881499999999999</v>
      </c>
      <c r="H4379" s="27" t="s">
        <v>93</v>
      </c>
      <c r="I4379" s="46">
        <f>IF(ISNUMBER(G4379),E4379*G4379,"")</f>
        <v>4.6930570000000005</v>
      </c>
      <c r="J4379" s="69"/>
      <c r="K4379" s="70"/>
      <c r="L4379" s="174">
        <v>0</v>
      </c>
    </row>
    <row r="4380" spans="1:12" hidden="1" x14ac:dyDescent="0.25">
      <c r="A4380" s="186"/>
      <c r="B4380" s="179"/>
      <c r="C4380" s="25" t="s">
        <v>1831</v>
      </c>
      <c r="D4380" s="25" t="s">
        <v>1366</v>
      </c>
      <c r="E4380" s="26">
        <v>1.375</v>
      </c>
      <c r="F4380" s="27" t="s">
        <v>2606</v>
      </c>
      <c r="G4380" s="46">
        <v>19.142499999999998</v>
      </c>
      <c r="H4380" s="27" t="s">
        <v>314</v>
      </c>
      <c r="I4380" s="46">
        <f>IF(ISNUMBER(G4380),E4380*G4380,"")</f>
        <v>26.320937499999999</v>
      </c>
      <c r="J4380" s="69"/>
      <c r="K4380" s="70"/>
      <c r="L4380" s="174">
        <v>0</v>
      </c>
    </row>
    <row r="4381" spans="1:12" hidden="1" x14ac:dyDescent="0.25">
      <c r="A4381" s="186"/>
      <c r="B4381" s="179"/>
      <c r="C4381" s="25"/>
      <c r="D4381" s="25"/>
      <c r="E4381" s="26"/>
      <c r="F4381" s="27"/>
      <c r="G4381" s="46" t="s">
        <v>1079</v>
      </c>
      <c r="H4381" s="27"/>
      <c r="I4381" s="46" t="str">
        <f>IF(ISNUMBER(G4381),E4381*G4381,"")</f>
        <v/>
      </c>
      <c r="J4381" s="69"/>
      <c r="K4381" s="70"/>
      <c r="L4381" s="174">
        <v>0</v>
      </c>
    </row>
    <row r="4382" spans="1:12" ht="15.75" hidden="1" thickBot="1" x14ac:dyDescent="0.3">
      <c r="A4382" s="180" t="s">
        <v>2609</v>
      </c>
      <c r="B4382" s="178" t="str">
        <f>INDEX(Orçamentária!A:B,MATCH(Composições!A4382,Orçamentária!A:A,0),2)</f>
        <v>Impermeabilização com manta dupla (com asfalto elastomérico)</v>
      </c>
      <c r="C4382" s="30"/>
      <c r="D4382" s="13" t="str">
        <f>TRIM(INDEX(Orçamentária!C:C,MATCH(Composições!A4382,Orçamentária!A:A,0),1))</f>
        <v>m2</v>
      </c>
      <c r="E4382" s="14"/>
      <c r="F4382" s="15" t="s">
        <v>2610</v>
      </c>
      <c r="G4382" s="40" t="s">
        <v>1079</v>
      </c>
      <c r="H4382" s="16"/>
      <c r="I4382" s="16" t="str">
        <f>IF(ISNUMBER(G4382),E4382*G4382,"")</f>
        <v/>
      </c>
      <c r="J4382" s="17"/>
      <c r="K4382" s="18"/>
      <c r="L4382" s="174">
        <v>0</v>
      </c>
    </row>
    <row r="4383" spans="1:12" hidden="1" x14ac:dyDescent="0.25">
      <c r="A4383" s="186"/>
      <c r="B4383" s="179"/>
      <c r="C4383" s="20"/>
      <c r="D4383" s="20"/>
      <c r="E4383" s="21"/>
      <c r="F4383" s="22"/>
      <c r="G4383" s="46" t="s">
        <v>1079</v>
      </c>
      <c r="H4383" s="20"/>
      <c r="I4383" s="46" t="str">
        <f>IF(ISNUMBER(G4383),E4383*G4383,"")</f>
        <v/>
      </c>
      <c r="J4383" s="69"/>
      <c r="K4383" s="70"/>
      <c r="L4383" s="174">
        <v>0</v>
      </c>
    </row>
    <row r="4384" spans="1:12" ht="25.5" hidden="1" x14ac:dyDescent="0.25">
      <c r="A4384" s="186"/>
      <c r="B4384" s="179"/>
      <c r="C4384" s="25" t="s">
        <v>2569</v>
      </c>
      <c r="D4384" s="25" t="s">
        <v>208</v>
      </c>
      <c r="E4384" s="26">
        <v>0.61499999999999999</v>
      </c>
      <c r="F4384" s="27" t="s">
        <v>2606</v>
      </c>
      <c r="G4384" s="46">
        <v>15.000499999999999</v>
      </c>
      <c r="H4384" s="27" t="s">
        <v>2570</v>
      </c>
      <c r="I4384" s="46">
        <f>IF(ISNUMBER(G4384),E4384*G4384,"")</f>
        <v>9.2253074999999995</v>
      </c>
      <c r="J4384" s="28">
        <f>SUM(I4384:I4389)</f>
        <v>137.678484</v>
      </c>
      <c r="K4384" s="29"/>
      <c r="L4384" s="174">
        <v>0</v>
      </c>
    </row>
    <row r="4385" spans="1:12" ht="25.5" hidden="1" x14ac:dyDescent="0.25">
      <c r="A4385" s="186"/>
      <c r="B4385" s="179"/>
      <c r="C4385" s="25" t="s">
        <v>2607</v>
      </c>
      <c r="D4385" s="25" t="s">
        <v>1795</v>
      </c>
      <c r="E4385" s="26">
        <v>1.125</v>
      </c>
      <c r="F4385" s="27" t="s">
        <v>2606</v>
      </c>
      <c r="G4385" s="46">
        <v>37.002499999999998</v>
      </c>
      <c r="H4385" s="27" t="s">
        <v>2608</v>
      </c>
      <c r="I4385" s="46">
        <f>IF(ISNUMBER(G4385),E4385*G4385,"")</f>
        <v>41.627812499999997</v>
      </c>
      <c r="J4385" s="69"/>
      <c r="K4385" s="70"/>
      <c r="L4385" s="174">
        <v>0</v>
      </c>
    </row>
    <row r="4386" spans="1:12" ht="25.5" hidden="1" x14ac:dyDescent="0.25">
      <c r="A4386" s="186"/>
      <c r="B4386" s="179"/>
      <c r="C4386" s="25" t="s">
        <v>2581</v>
      </c>
      <c r="D4386" s="25" t="s">
        <v>1795</v>
      </c>
      <c r="E4386" s="26">
        <v>1.125</v>
      </c>
      <c r="F4386" s="27" t="s">
        <v>2606</v>
      </c>
      <c r="G4386" s="46">
        <v>45.438499999999998</v>
      </c>
      <c r="H4386" s="27" t="s">
        <v>2582</v>
      </c>
      <c r="I4386" s="46">
        <f>IF(ISNUMBER(G4386),E4386*G4386,"")</f>
        <v>51.118312499999995</v>
      </c>
      <c r="J4386" s="69"/>
      <c r="K4386" s="70"/>
      <c r="L4386" s="174">
        <v>0</v>
      </c>
    </row>
    <row r="4387" spans="1:12" hidden="1" x14ac:dyDescent="0.25">
      <c r="A4387" s="186"/>
      <c r="B4387" s="179"/>
      <c r="C4387" s="25" t="s">
        <v>2602</v>
      </c>
      <c r="D4387" s="25" t="s">
        <v>1629</v>
      </c>
      <c r="E4387" s="26">
        <v>2</v>
      </c>
      <c r="F4387" s="27" t="s">
        <v>17</v>
      </c>
      <c r="G4387" s="46" t="s">
        <v>1079</v>
      </c>
      <c r="H4387" s="27" t="s">
        <v>33</v>
      </c>
      <c r="I4387" s="46" t="str">
        <f>IF(ISNUMBER(G4387),E4387*G4387,"")</f>
        <v/>
      </c>
      <c r="J4387" s="69"/>
      <c r="K4387" s="70"/>
      <c r="L4387" s="174">
        <v>0</v>
      </c>
    </row>
    <row r="4388" spans="1:12" hidden="1" x14ac:dyDescent="0.25">
      <c r="A4388" s="186"/>
      <c r="B4388" s="179"/>
      <c r="C4388" s="25" t="s">
        <v>2571</v>
      </c>
      <c r="D4388" s="25" t="s">
        <v>1366</v>
      </c>
      <c r="E4388" s="26">
        <f>0.278*2</f>
        <v>0.55600000000000005</v>
      </c>
      <c r="F4388" s="27" t="s">
        <v>2606</v>
      </c>
      <c r="G4388" s="46">
        <v>16.881499999999999</v>
      </c>
      <c r="H4388" s="27" t="s">
        <v>93</v>
      </c>
      <c r="I4388" s="46">
        <f>IF(ISNUMBER(G4388),E4388*G4388,"")</f>
        <v>9.386114000000001</v>
      </c>
      <c r="J4388" s="69"/>
      <c r="K4388" s="70"/>
      <c r="L4388" s="174">
        <v>0</v>
      </c>
    </row>
    <row r="4389" spans="1:12" hidden="1" x14ac:dyDescent="0.25">
      <c r="A4389" s="186"/>
      <c r="B4389" s="179"/>
      <c r="C4389" s="25" t="s">
        <v>1831</v>
      </c>
      <c r="D4389" s="25" t="s">
        <v>1366</v>
      </c>
      <c r="E4389" s="26">
        <v>1.375</v>
      </c>
      <c r="F4389" s="27" t="s">
        <v>2606</v>
      </c>
      <c r="G4389" s="46">
        <v>19.142499999999998</v>
      </c>
      <c r="H4389" s="27" t="s">
        <v>314</v>
      </c>
      <c r="I4389" s="46">
        <f>IF(ISNUMBER(G4389),E4389*G4389,"")</f>
        <v>26.320937499999999</v>
      </c>
      <c r="J4389" s="69"/>
      <c r="K4389" s="70"/>
      <c r="L4389" s="174">
        <v>0</v>
      </c>
    </row>
    <row r="4390" spans="1:12" hidden="1" x14ac:dyDescent="0.25">
      <c r="A4390" s="186"/>
      <c r="B4390" s="179"/>
      <c r="C4390" s="25"/>
      <c r="D4390" s="25"/>
      <c r="E4390" s="26"/>
      <c r="F4390" s="27"/>
      <c r="G4390" s="46" t="s">
        <v>1079</v>
      </c>
      <c r="H4390" s="27"/>
      <c r="I4390" s="46" t="str">
        <f>IF(ISNUMBER(G4390),E4390*G4390,"")</f>
        <v/>
      </c>
      <c r="J4390" s="69"/>
      <c r="K4390" s="70"/>
      <c r="L4390" s="174">
        <v>0</v>
      </c>
    </row>
    <row r="4391" spans="1:12" ht="25.5" hidden="1" x14ac:dyDescent="0.25">
      <c r="A4391" s="186"/>
      <c r="B4391" s="179"/>
      <c r="C4391" s="39" t="s">
        <v>2603</v>
      </c>
      <c r="D4391" s="25"/>
      <c r="E4391" s="26"/>
      <c r="F4391" s="27"/>
      <c r="G4391" s="46" t="s">
        <v>1079</v>
      </c>
      <c r="H4391" s="27"/>
      <c r="I4391" s="46" t="str">
        <f>IF(ISNUMBER(G4391),E4391*G4391,"")</f>
        <v/>
      </c>
      <c r="J4391" s="69"/>
      <c r="K4391" s="70"/>
      <c r="L4391" s="174">
        <v>0</v>
      </c>
    </row>
    <row r="4392" spans="1:12" ht="24.75" hidden="1" x14ac:dyDescent="0.25">
      <c r="A4392" s="186"/>
      <c r="B4392" s="179"/>
      <c r="C4392" s="173" t="s">
        <v>2604</v>
      </c>
      <c r="D4392" s="25"/>
      <c r="E4392" s="26"/>
      <c r="F4392" s="27"/>
      <c r="G4392" s="46" t="s">
        <v>1079</v>
      </c>
      <c r="H4392" s="27"/>
      <c r="I4392" s="46" t="str">
        <f>IF(ISNUMBER(G4392),E4392*G4392,"")</f>
        <v/>
      </c>
      <c r="J4392" s="69"/>
      <c r="K4392" s="70"/>
      <c r="L4392" s="174">
        <v>0</v>
      </c>
    </row>
    <row r="4393" spans="1:12" hidden="1" x14ac:dyDescent="0.25">
      <c r="A4393" s="186"/>
      <c r="B4393" s="179"/>
      <c r="C4393" s="25"/>
      <c r="D4393" s="25"/>
      <c r="E4393" s="26"/>
      <c r="F4393" s="27"/>
      <c r="G4393" s="46" t="s">
        <v>1079</v>
      </c>
      <c r="H4393" s="27"/>
      <c r="I4393" s="46" t="str">
        <f>IF(ISNUMBER(G4393),E4393*G4393,"")</f>
        <v/>
      </c>
      <c r="J4393" s="69"/>
      <c r="K4393" s="70"/>
      <c r="L4393" s="174">
        <v>0</v>
      </c>
    </row>
    <row r="4394" spans="1:12" ht="15.75" hidden="1" thickBot="1" x14ac:dyDescent="0.3">
      <c r="A4394" s="180" t="s">
        <v>2611</v>
      </c>
      <c r="B4394" s="178" t="str">
        <f>INDEX(Orçamentária!A:B,MATCH(Composições!A4394,Orçamentária!A:A,0),2)</f>
        <v>Aditivo Incorporador de Ar</v>
      </c>
      <c r="C4394" s="30"/>
      <c r="D4394" s="13" t="str">
        <f>TRIM(INDEX(Orçamentária!C:C,MATCH(Composições!A4394,Orçamentária!A:A,0),1))</f>
        <v>kg</v>
      </c>
      <c r="E4394" s="14"/>
      <c r="F4394" s="71" t="s">
        <v>17</v>
      </c>
      <c r="G4394" s="40" t="s">
        <v>1079</v>
      </c>
      <c r="H4394" s="16"/>
      <c r="I4394" s="16" t="str">
        <f>IF(ISNUMBER(G4394),E4394*G4394,"")</f>
        <v/>
      </c>
      <c r="J4394" s="17"/>
      <c r="K4394" s="18"/>
      <c r="L4394" s="174">
        <v>0</v>
      </c>
    </row>
    <row r="4395" spans="1:12" hidden="1" x14ac:dyDescent="0.25">
      <c r="A4395" s="186"/>
      <c r="B4395" s="179"/>
      <c r="C4395" s="20"/>
      <c r="D4395" s="20"/>
      <c r="E4395" s="21"/>
      <c r="F4395" s="22"/>
      <c r="G4395" s="46" t="s">
        <v>1079</v>
      </c>
      <c r="H4395" s="20"/>
      <c r="I4395" s="46" t="str">
        <f>IF(ISNUMBER(G4395),E4395*G4395,"")</f>
        <v/>
      </c>
      <c r="J4395" s="69"/>
      <c r="K4395" s="70"/>
      <c r="L4395" s="174">
        <v>0</v>
      </c>
    </row>
    <row r="4396" spans="1:12" ht="25.5" hidden="1" x14ac:dyDescent="0.25">
      <c r="A4396" s="186"/>
      <c r="B4396" s="179"/>
      <c r="C4396" s="25" t="s">
        <v>2612</v>
      </c>
      <c r="D4396" s="25" t="s">
        <v>208</v>
      </c>
      <c r="E4396" s="26">
        <v>1.01</v>
      </c>
      <c r="F4396" s="26" t="s">
        <v>17</v>
      </c>
      <c r="G4396" s="46">
        <v>4.4935</v>
      </c>
      <c r="H4396" s="26" t="s">
        <v>2613</v>
      </c>
      <c r="I4396" s="46">
        <f>IF(ISNUMBER(G4396),E4396*G4396,"")</f>
        <v>4.5384349999999998</v>
      </c>
      <c r="J4396" s="28">
        <f>SUM(I4396:I4396)</f>
        <v>4.5384349999999998</v>
      </c>
      <c r="K4396" s="29"/>
      <c r="L4396" s="174">
        <v>0</v>
      </c>
    </row>
    <row r="4397" spans="1:12" hidden="1" x14ac:dyDescent="0.25">
      <c r="A4397" s="186"/>
      <c r="B4397" s="179"/>
      <c r="C4397" s="25"/>
      <c r="D4397" s="25"/>
      <c r="E4397" s="26"/>
      <c r="F4397" s="26"/>
      <c r="G4397" s="46" t="s">
        <v>1079</v>
      </c>
      <c r="H4397" s="26"/>
      <c r="I4397" s="46" t="str">
        <f>IF(ISNUMBER(G4397),E4397*G4397,"")</f>
        <v/>
      </c>
      <c r="J4397" s="69"/>
      <c r="K4397" s="70"/>
      <c r="L4397" s="174">
        <v>0</v>
      </c>
    </row>
    <row r="4398" spans="1:12" ht="25.5" hidden="1" x14ac:dyDescent="0.25">
      <c r="A4398" s="186"/>
      <c r="B4398" s="179"/>
      <c r="C4398" s="39" t="s">
        <v>2614</v>
      </c>
      <c r="D4398" s="25"/>
      <c r="E4398" s="26"/>
      <c r="F4398" s="26"/>
      <c r="G4398" s="46" t="s">
        <v>1079</v>
      </c>
      <c r="H4398" s="26"/>
      <c r="I4398" s="46" t="str">
        <f>IF(ISNUMBER(G4398),E4398*G4398,"")</f>
        <v/>
      </c>
      <c r="J4398" s="69"/>
      <c r="K4398" s="70"/>
      <c r="L4398" s="174">
        <v>0</v>
      </c>
    </row>
    <row r="4399" spans="1:12" ht="15.75" hidden="1" thickBot="1" x14ac:dyDescent="0.3">
      <c r="A4399" s="186"/>
      <c r="B4399" s="179"/>
      <c r="C4399" s="47"/>
      <c r="D4399" s="47"/>
      <c r="E4399" s="60"/>
      <c r="F4399" s="61"/>
      <c r="G4399" s="73" t="s">
        <v>1079</v>
      </c>
      <c r="H4399" s="61"/>
      <c r="I4399" s="73" t="str">
        <f>IF(ISNUMBER(G4399),E4399*G4399,"")</f>
        <v/>
      </c>
      <c r="J4399" s="75"/>
      <c r="K4399" s="70"/>
      <c r="L4399" s="174">
        <v>0</v>
      </c>
    </row>
    <row r="4400" spans="1:12" ht="15.75" hidden="1" thickBot="1" x14ac:dyDescent="0.3">
      <c r="A4400" s="180" t="s">
        <v>2615</v>
      </c>
      <c r="B4400" s="178" t="str">
        <f>INDEX(Orçamentária!A:B,MATCH(Composições!A4400,Orçamentária!A:A,0),2)</f>
        <v>Brita Nº 2</v>
      </c>
      <c r="C4400" s="30"/>
      <c r="D4400" s="13" t="str">
        <f>TRIM(INDEX(Orçamentária!C:C,MATCH(Composições!A4400,Orçamentária!A:A,0),1))</f>
        <v>m3</v>
      </c>
      <c r="E4400" s="14"/>
      <c r="F4400" s="71" t="s">
        <v>17</v>
      </c>
      <c r="G4400" s="40" t="s">
        <v>1079</v>
      </c>
      <c r="H4400" s="16"/>
      <c r="I4400" s="16" t="str">
        <f>IF(ISNUMBER(G4400),E4400*G4400,"")</f>
        <v/>
      </c>
      <c r="J4400" s="17"/>
      <c r="K4400" s="18"/>
      <c r="L4400" s="174">
        <v>0</v>
      </c>
    </row>
    <row r="4401" spans="1:12" hidden="1" x14ac:dyDescent="0.25">
      <c r="A4401" s="186"/>
      <c r="B4401" s="179"/>
      <c r="C4401" s="20"/>
      <c r="D4401" s="20"/>
      <c r="E4401" s="21"/>
      <c r="F4401" s="22"/>
      <c r="G4401" s="46" t="s">
        <v>1079</v>
      </c>
      <c r="H4401" s="20"/>
      <c r="I4401" s="46" t="str">
        <f>IF(ISNUMBER(G4401),E4401*G4401,"")</f>
        <v/>
      </c>
      <c r="J4401" s="69"/>
      <c r="K4401" s="70"/>
      <c r="L4401" s="174">
        <v>0</v>
      </c>
    </row>
    <row r="4402" spans="1:12" ht="25.5" hidden="1" x14ac:dyDescent="0.25">
      <c r="A4402" s="186"/>
      <c r="B4402" s="179"/>
      <c r="C4402" s="25" t="s">
        <v>1982</v>
      </c>
      <c r="D4402" s="25" t="s">
        <v>228</v>
      </c>
      <c r="E4402" s="26">
        <v>1</v>
      </c>
      <c r="F4402" s="26" t="s">
        <v>17</v>
      </c>
      <c r="G4402" s="46">
        <v>62.082499999999989</v>
      </c>
      <c r="H4402" s="26" t="s">
        <v>303</v>
      </c>
      <c r="I4402" s="46">
        <f>IF(ISNUMBER(G4402),E4402*G4402,"")</f>
        <v>62.082499999999989</v>
      </c>
      <c r="J4402" s="28">
        <f>SUM(I4402:I4404)</f>
        <v>83.516684999999981</v>
      </c>
      <c r="K4402" s="29"/>
      <c r="L4402" s="174">
        <v>0</v>
      </c>
    </row>
    <row r="4403" spans="1:12" ht="38.25" hidden="1" x14ac:dyDescent="0.25">
      <c r="A4403" s="186"/>
      <c r="B4403" s="179"/>
      <c r="C4403" s="25" t="s">
        <v>251</v>
      </c>
      <c r="D4403" s="25" t="s">
        <v>228</v>
      </c>
      <c r="E4403" s="26">
        <f>1*E4402</f>
        <v>1</v>
      </c>
      <c r="F4403" s="27" t="s">
        <v>17</v>
      </c>
      <c r="G4403" s="23">
        <v>0.72471700000000006</v>
      </c>
      <c r="H4403" s="27" t="s">
        <v>253</v>
      </c>
      <c r="I4403" s="23">
        <f>IF(ISNUMBER(G4403),E4403*G4403,"")</f>
        <v>0.72471700000000006</v>
      </c>
      <c r="J4403" s="24"/>
      <c r="K4403" s="19"/>
      <c r="L4403" s="174">
        <v>0</v>
      </c>
    </row>
    <row r="4404" spans="1:12" ht="38.25" hidden="1" x14ac:dyDescent="0.25">
      <c r="A4404" s="186"/>
      <c r="B4404" s="179"/>
      <c r="C4404" s="25" t="s">
        <v>254</v>
      </c>
      <c r="D4404" s="25" t="s">
        <v>255</v>
      </c>
      <c r="E4404" s="26">
        <f>E4402*20</f>
        <v>20</v>
      </c>
      <c r="F4404" s="27" t="s">
        <v>17</v>
      </c>
      <c r="G4404" s="46">
        <v>1.0354733999999999</v>
      </c>
      <c r="H4404" s="27" t="s">
        <v>256</v>
      </c>
      <c r="I4404" s="46">
        <f>IF(ISNUMBER(G4404),E4404*G4404,"")</f>
        <v>20.709467999999998</v>
      </c>
      <c r="J4404" s="69"/>
      <c r="K4404" s="70"/>
      <c r="L4404" s="174">
        <v>0</v>
      </c>
    </row>
    <row r="4405" spans="1:12" hidden="1" x14ac:dyDescent="0.25">
      <c r="A4405" s="186"/>
      <c r="B4405" s="179"/>
      <c r="C4405" s="25"/>
      <c r="D4405" s="25"/>
      <c r="E4405" s="26"/>
      <c r="F4405" s="26"/>
      <c r="G4405" s="46" t="s">
        <v>1079</v>
      </c>
      <c r="H4405" s="26"/>
      <c r="I4405" s="46" t="str">
        <f>IF(ISNUMBER(G4405),E4405*G4405,"")</f>
        <v/>
      </c>
      <c r="J4405" s="69"/>
      <c r="K4405" s="70"/>
      <c r="L4405" s="174">
        <v>0</v>
      </c>
    </row>
    <row r="4406" spans="1:12" hidden="1" x14ac:dyDescent="0.25">
      <c r="A4406" s="186"/>
      <c r="B4406" s="179"/>
      <c r="C4406" s="39" t="s">
        <v>2616</v>
      </c>
      <c r="D4406" s="25"/>
      <c r="E4406" s="26"/>
      <c r="F4406" s="26"/>
      <c r="G4406" s="46" t="s">
        <v>1079</v>
      </c>
      <c r="H4406" s="26"/>
      <c r="I4406" s="46" t="str">
        <f>IF(ISNUMBER(G4406),E4406*G4406,"")</f>
        <v/>
      </c>
      <c r="J4406" s="69"/>
      <c r="K4406" s="70"/>
      <c r="L4406" s="174">
        <v>0</v>
      </c>
    </row>
    <row r="4407" spans="1:12" ht="15.75" hidden="1" thickBot="1" x14ac:dyDescent="0.3">
      <c r="A4407" s="187"/>
      <c r="B4407" s="183"/>
      <c r="C4407" s="47"/>
      <c r="D4407" s="47"/>
      <c r="E4407" s="60"/>
      <c r="F4407" s="60"/>
      <c r="G4407" s="73" t="s">
        <v>1079</v>
      </c>
      <c r="H4407" s="60"/>
      <c r="I4407" s="73" t="str">
        <f>IF(ISNUMBER(G4407),E4407*G4407,"")</f>
        <v/>
      </c>
      <c r="J4407" s="75"/>
      <c r="K4407" s="70"/>
      <c r="L4407" s="174">
        <v>0</v>
      </c>
    </row>
    <row r="4408" spans="1:12" ht="26.25" hidden="1" thickBot="1" x14ac:dyDescent="0.3">
      <c r="A4408" s="180" t="s">
        <v>2617</v>
      </c>
      <c r="B4408" s="178" t="str">
        <f>INDEX(Orçamentária!A:B,MATCH(Composições!A4408,Orçamentária!A:A,0),2)</f>
        <v>Carpete aveludado azul royal - fornecimento e instalação</v>
      </c>
      <c r="C4408" s="30"/>
      <c r="D4408" s="13" t="str">
        <f>TRIM(INDEX(Orçamentária!C:C,MATCH(Composições!A4408,Orçamentária!A:A,0),1))</f>
        <v>m2</v>
      </c>
      <c r="E4408" s="14"/>
      <c r="F4408" s="15" t="s">
        <v>4603</v>
      </c>
      <c r="G4408" s="40" t="s">
        <v>1079</v>
      </c>
      <c r="H4408" s="16"/>
      <c r="I4408" s="16" t="str">
        <f>IF(ISNUMBER(G4408),E4408*G4408,"")</f>
        <v/>
      </c>
      <c r="J4408" s="17"/>
      <c r="K4408" s="18"/>
      <c r="L4408" s="174">
        <v>0</v>
      </c>
    </row>
    <row r="4409" spans="1:12" hidden="1" x14ac:dyDescent="0.25">
      <c r="A4409" s="186"/>
      <c r="B4409" s="179"/>
      <c r="C4409" s="20"/>
      <c r="D4409" s="20"/>
      <c r="E4409" s="21"/>
      <c r="F4409" s="22"/>
      <c r="G4409" s="46" t="s">
        <v>1079</v>
      </c>
      <c r="H4409" s="20"/>
      <c r="I4409" s="46" t="str">
        <f>IF(ISNUMBER(G4409),E4409*G4409,"")</f>
        <v/>
      </c>
      <c r="J4409" s="69"/>
      <c r="K4409" s="70"/>
      <c r="L4409" s="174">
        <v>0</v>
      </c>
    </row>
    <row r="4410" spans="1:12" hidden="1" x14ac:dyDescent="0.25">
      <c r="A4410" s="186"/>
      <c r="B4410" s="179"/>
      <c r="C4410" s="25" t="s">
        <v>1389</v>
      </c>
      <c r="D4410" s="25" t="s">
        <v>1366</v>
      </c>
      <c r="E4410" s="26">
        <v>0.1</v>
      </c>
      <c r="F4410" s="27" t="s">
        <v>2618</v>
      </c>
      <c r="G4410" s="46">
        <v>19.142499999999998</v>
      </c>
      <c r="H4410" s="27" t="s">
        <v>37</v>
      </c>
      <c r="I4410" s="46">
        <f>IF(ISNUMBER(G4410),E4410*G4410,"")</f>
        <v>1.91425</v>
      </c>
      <c r="J4410" s="28">
        <f>SUM(I4410:I4417)</f>
        <v>10.61055</v>
      </c>
      <c r="K4410" s="29"/>
      <c r="L4410" s="174">
        <v>0</v>
      </c>
    </row>
    <row r="4411" spans="1:12" hidden="1" x14ac:dyDescent="0.25">
      <c r="A4411" s="186"/>
      <c r="B4411" s="179"/>
      <c r="C4411" s="25" t="s">
        <v>1367</v>
      </c>
      <c r="D4411" s="25" t="s">
        <v>1366</v>
      </c>
      <c r="E4411" s="26">
        <v>0.1</v>
      </c>
      <c r="F4411" s="27" t="s">
        <v>2618</v>
      </c>
      <c r="G4411" s="46">
        <v>14.325999999999999</v>
      </c>
      <c r="H4411" s="27" t="s">
        <v>39</v>
      </c>
      <c r="I4411" s="46">
        <f>IF(ISNUMBER(G4411),E4411*G4411,"")</f>
        <v>1.4325999999999999</v>
      </c>
      <c r="J4411" s="69"/>
      <c r="K4411" s="70"/>
      <c r="L4411" s="174">
        <v>0</v>
      </c>
    </row>
    <row r="4412" spans="1:12" hidden="1" x14ac:dyDescent="0.25">
      <c r="A4412" s="186"/>
      <c r="B4412" s="179"/>
      <c r="C4412" s="25" t="s">
        <v>2619</v>
      </c>
      <c r="D4412" s="25" t="s">
        <v>1629</v>
      </c>
      <c r="E4412" s="26">
        <v>0.1</v>
      </c>
      <c r="F4412" s="27" t="s">
        <v>2618</v>
      </c>
      <c r="G4412" s="46" t="s">
        <v>1079</v>
      </c>
      <c r="H4412" s="27" t="s">
        <v>33</v>
      </c>
      <c r="I4412" s="46" t="str">
        <f>IF(ISNUMBER(G4412),E4412*G4412,"")</f>
        <v/>
      </c>
      <c r="J4412" s="69"/>
      <c r="K4412" s="70"/>
      <c r="L4412" s="174">
        <v>0</v>
      </c>
    </row>
    <row r="4413" spans="1:12" ht="25.5" hidden="1" x14ac:dyDescent="0.25">
      <c r="A4413" s="186"/>
      <c r="B4413" s="179"/>
      <c r="C4413" s="25" t="s">
        <v>2621</v>
      </c>
      <c r="D4413" s="25" t="s">
        <v>189</v>
      </c>
      <c r="E4413" s="26">
        <v>1.1000000000000001</v>
      </c>
      <c r="F4413" s="27" t="s">
        <v>2618</v>
      </c>
      <c r="G4413" s="46" t="s">
        <v>1079</v>
      </c>
      <c r="H4413" s="27" t="s">
        <v>33</v>
      </c>
      <c r="I4413" s="46" t="str">
        <f>IF(ISNUMBER(G4413),E4413*G4413,"")</f>
        <v/>
      </c>
      <c r="J4413" s="69"/>
      <c r="K4413" s="70"/>
      <c r="L4413" s="174">
        <v>0</v>
      </c>
    </row>
    <row r="4414" spans="1:12" hidden="1" x14ac:dyDescent="0.25">
      <c r="A4414" s="186"/>
      <c r="B4414" s="179"/>
      <c r="C4414" s="25" t="s">
        <v>1389</v>
      </c>
      <c r="D4414" s="25" t="s">
        <v>1366</v>
      </c>
      <c r="E4414" s="26">
        <v>0.2</v>
      </c>
      <c r="F4414" s="27" t="s">
        <v>4604</v>
      </c>
      <c r="G4414" s="46">
        <v>19.142499999999998</v>
      </c>
      <c r="H4414" s="27" t="s">
        <v>37</v>
      </c>
      <c r="I4414" s="46">
        <f>IF(ISNUMBER(G4414),E4414*G4414,"")</f>
        <v>3.8285</v>
      </c>
      <c r="J4414" s="69"/>
      <c r="K4414" s="29"/>
      <c r="L4414" s="174">
        <v>0</v>
      </c>
    </row>
    <row r="4415" spans="1:12" hidden="1" x14ac:dyDescent="0.25">
      <c r="A4415" s="186"/>
      <c r="B4415" s="179"/>
      <c r="C4415" s="25" t="s">
        <v>1367</v>
      </c>
      <c r="D4415" s="25" t="s">
        <v>1366</v>
      </c>
      <c r="E4415" s="26">
        <v>0.2</v>
      </c>
      <c r="F4415" s="27" t="s">
        <v>4604</v>
      </c>
      <c r="G4415" s="46">
        <v>14.325999999999999</v>
      </c>
      <c r="H4415" s="27" t="s">
        <v>39</v>
      </c>
      <c r="I4415" s="46">
        <f>IF(ISNUMBER(G4415),E4415*G4415,"")</f>
        <v>2.8651999999999997</v>
      </c>
      <c r="J4415" s="69"/>
      <c r="K4415" s="70"/>
      <c r="L4415" s="174">
        <v>0</v>
      </c>
    </row>
    <row r="4416" spans="1:12" hidden="1" x14ac:dyDescent="0.25">
      <c r="A4416" s="186"/>
      <c r="B4416" s="179"/>
      <c r="C4416" s="25" t="s">
        <v>1448</v>
      </c>
      <c r="D4416" s="25" t="s">
        <v>1629</v>
      </c>
      <c r="E4416" s="26">
        <v>1.5</v>
      </c>
      <c r="F4416" s="27" t="s">
        <v>17</v>
      </c>
      <c r="G4416" s="46">
        <v>0.38</v>
      </c>
      <c r="H4416" s="27" t="s">
        <v>242</v>
      </c>
      <c r="I4416" s="46">
        <f>IF(ISNUMBER(G4416),E4416*G4416,"")</f>
        <v>0.57000000000000006</v>
      </c>
      <c r="J4416" s="69"/>
      <c r="K4416" s="70"/>
      <c r="L4416" s="174">
        <v>0</v>
      </c>
    </row>
    <row r="4417" spans="1:12" hidden="1" x14ac:dyDescent="0.25">
      <c r="A4417" s="186"/>
      <c r="B4417" s="179"/>
      <c r="C4417" s="25" t="s">
        <v>2620</v>
      </c>
      <c r="D4417" s="25" t="s">
        <v>1629</v>
      </c>
      <c r="E4417" s="26">
        <f>ROUND(E4416*0.1,2)</f>
        <v>0.15</v>
      </c>
      <c r="F4417" s="27" t="s">
        <v>17</v>
      </c>
      <c r="G4417" s="46" t="s">
        <v>1079</v>
      </c>
      <c r="H4417" s="27" t="s">
        <v>33</v>
      </c>
      <c r="I4417" s="46" t="str">
        <f>IF(ISNUMBER(G4417),E4417*G4417,"")</f>
        <v/>
      </c>
      <c r="J4417" s="69"/>
      <c r="K4417" s="70"/>
      <c r="L4417" s="174">
        <v>0</v>
      </c>
    </row>
    <row r="4418" spans="1:12" hidden="1" x14ac:dyDescent="0.25">
      <c r="A4418" s="186"/>
      <c r="B4418" s="179"/>
      <c r="C4418" s="25"/>
      <c r="D4418" s="25"/>
      <c r="E4418" s="26"/>
      <c r="F4418" s="27"/>
      <c r="G4418" s="46" t="s">
        <v>1079</v>
      </c>
      <c r="H4418" s="27"/>
      <c r="I4418" s="46" t="str">
        <f>IF(ISNUMBER(G4418),E4418*G4418,"")</f>
        <v/>
      </c>
      <c r="J4418" s="69"/>
      <c r="K4418" s="70"/>
      <c r="L4418" s="174">
        <v>0</v>
      </c>
    </row>
    <row r="4419" spans="1:12" ht="15.75" hidden="1" thickBot="1" x14ac:dyDescent="0.3">
      <c r="A4419" s="180" t="s">
        <v>2622</v>
      </c>
      <c r="B4419" s="178" t="str">
        <f>INDEX(Orçamentária!A:B,MATCH(Composições!A4419,Orçamentária!A:A,0),2)</f>
        <v>Demolição de revestimento de piso têxtil (carpete)</v>
      </c>
      <c r="C4419" s="30"/>
      <c r="D4419" s="13" t="str">
        <f>TRIM(INDEX(Orçamentária!C:C,MATCH(Composições!A4419,Orçamentária!A:A,0),1))</f>
        <v>m2</v>
      </c>
      <c r="E4419" s="14"/>
      <c r="F4419" s="15" t="s">
        <v>89</v>
      </c>
      <c r="G4419" s="40" t="s">
        <v>1079</v>
      </c>
      <c r="H4419" s="16"/>
      <c r="I4419" s="16" t="str">
        <f>IF(ISNUMBER(G4419),E4419*G4419,"")</f>
        <v/>
      </c>
      <c r="J4419" s="17"/>
      <c r="K4419" s="18"/>
      <c r="L4419" s="174">
        <v>0</v>
      </c>
    </row>
    <row r="4420" spans="1:12" hidden="1" x14ac:dyDescent="0.25">
      <c r="A4420" s="186"/>
      <c r="B4420" s="179"/>
      <c r="C4420" s="20"/>
      <c r="D4420" s="20"/>
      <c r="E4420" s="21"/>
      <c r="F4420" s="22"/>
      <c r="G4420" s="46" t="s">
        <v>1079</v>
      </c>
      <c r="H4420" s="20"/>
      <c r="I4420" s="46" t="str">
        <f>IF(ISNUMBER(G4420),E4420*G4420,"")</f>
        <v/>
      </c>
      <c r="J4420" s="69"/>
      <c r="K4420" s="70"/>
      <c r="L4420" s="174">
        <v>0</v>
      </c>
    </row>
    <row r="4421" spans="1:12" hidden="1" x14ac:dyDescent="0.25">
      <c r="A4421" s="186"/>
      <c r="B4421" s="179"/>
      <c r="C4421" s="25" t="s">
        <v>1389</v>
      </c>
      <c r="D4421" s="25" t="s">
        <v>1366</v>
      </c>
      <c r="E4421" s="26">
        <v>0.01</v>
      </c>
      <c r="F4421" s="27" t="s">
        <v>90</v>
      </c>
      <c r="G4421" s="46">
        <v>19.142499999999998</v>
      </c>
      <c r="H4421" s="27" t="s">
        <v>37</v>
      </c>
      <c r="I4421" s="46">
        <f>IF(ISNUMBER(G4421),E4421*G4421,"")</f>
        <v>0.19142499999999998</v>
      </c>
      <c r="J4421" s="28">
        <f>SUM(I4421:I4422)</f>
        <v>1.6240249999999998</v>
      </c>
      <c r="K4421" s="29"/>
      <c r="L4421" s="174">
        <v>0</v>
      </c>
    </row>
    <row r="4422" spans="1:12" hidden="1" x14ac:dyDescent="0.25">
      <c r="A4422" s="186"/>
      <c r="B4422" s="179"/>
      <c r="C4422" s="25" t="s">
        <v>1367</v>
      </c>
      <c r="D4422" s="25" t="s">
        <v>1366</v>
      </c>
      <c r="E4422" s="26">
        <v>0.1</v>
      </c>
      <c r="F4422" s="27" t="s">
        <v>90</v>
      </c>
      <c r="G4422" s="46">
        <v>14.325999999999999</v>
      </c>
      <c r="H4422" s="27" t="s">
        <v>39</v>
      </c>
      <c r="I4422" s="46">
        <f>IF(ISNUMBER(G4422),E4422*G4422,"")</f>
        <v>1.4325999999999999</v>
      </c>
      <c r="J4422" s="69"/>
      <c r="K4422" s="70"/>
      <c r="L4422" s="174">
        <v>0</v>
      </c>
    </row>
    <row r="4423" spans="1:12" ht="15.75" hidden="1" thickBot="1" x14ac:dyDescent="0.3">
      <c r="A4423" s="187"/>
      <c r="B4423" s="183"/>
      <c r="C4423" s="47"/>
      <c r="D4423" s="47"/>
      <c r="E4423" s="60"/>
      <c r="F4423" s="61"/>
      <c r="G4423" s="73" t="s">
        <v>1079</v>
      </c>
      <c r="H4423" s="61"/>
      <c r="I4423" s="73" t="str">
        <f>IF(ISNUMBER(G4423),E4423*G4423,"")</f>
        <v/>
      </c>
      <c r="J4423" s="75"/>
      <c r="K4423" s="70"/>
      <c r="L4423" s="174">
        <v>0</v>
      </c>
    </row>
  </sheetData>
  <sheetProtection algorithmName="SHA-512" hashValue="1O/wd0SjPw8d9NeIg41e1caWcAzOHoQ3yQlYd/hAncDosO7DiLZzeGXL3KeGCk9eFNt5QOelcLfjASPxLTL1wQ==" saltValue="9uSlbhIaq50/0b6MaaQrAg==" spinCount="100000" sheet="1" objects="1" scenarios="1"/>
  <protectedRanges>
    <protectedRange sqref="F118" name="COTACOES_92_2_1_1"/>
    <protectedRange sqref="F118" name="COTACOES_1_12_18_1_1"/>
    <protectedRange sqref="F220:F221 H221" name="COTACOES_92_2_2_1"/>
    <protectedRange sqref="F220:F221 H221" name="COTACOES_1_12_18_2_1"/>
    <protectedRange sqref="F167:F168 F193:F194" name="COTACOES_92_2_4_1"/>
    <protectedRange sqref="F167:F168 F193:F194" name="COTACOES_1_12_18_4_1"/>
    <protectedRange sqref="F211" name="COTACOES_94_1_1"/>
    <protectedRange sqref="F211" name="COTACOES_1_12_2_1_1"/>
    <protectedRange sqref="C216 C108 C2964:C2965 C808 C3108 C1846 C1852 C1888 C1864 C1882 C1858 C1870 C1876 C1894 C1900 C1805 C1810 C1906 C2375 C2845 C2948 C2969 C3096 C3005 C3026 C2973 C2980 C2942 C3011 C3021 C2995 C3001 C3013 C3102 C2956 C1927 C1932 C1937 C2541 C2381 C2561 C2566" name="COTACOES_92_6"/>
    <protectedRange sqref="F49:F50" name="COTACOES_92_1_1"/>
    <protectedRange sqref="F49:F50" name="COTACOES_1_12_17_1_4"/>
    <protectedRange sqref="F66:F67" name="COTACOES_73_1_2_2"/>
    <protectedRange sqref="F66:F67" name="COTACOES_1_12_6_1_1_2"/>
    <protectedRange sqref="F278:F281 H278:H281" name="COTACOES_96_1_2"/>
    <protectedRange sqref="F278:F281 H278:H281" name="COTACOES_1_12_4_1_2"/>
    <protectedRange sqref="F285:F288 H285:H288" name="COTACOES_96_1_1_3"/>
    <protectedRange sqref="F285:F288 H285:H288" name="COTACOES_1_12_4_1_1_3"/>
    <protectedRange sqref="F270:F274 H270 H3471 F3471:F3477" name="COTACOES_92_7_1"/>
    <protectedRange sqref="F270:F274 H270 H3471 F3471:F3477" name="COTACOES_1_12_8_1_1"/>
    <protectedRange sqref="C355" name="COTACOES_14_1_1"/>
    <protectedRange sqref="H2987:H2989 F353:F359 F2988:F2989 H353:H359 F362:F363 H361:H363" name="COTACOES_92_8_2"/>
    <protectedRange sqref="H2987:H2989 F353:F359 F2988:F2989 H353:H359 F362:F363 H361:H363" name="COTACOES_1_12_13_1_4"/>
    <protectedRange sqref="H313 H293:H298" name="COTACOES_92_9_1"/>
    <protectedRange sqref="H313 H293:H298" name="COTACOES_1_12_13_1_1_2"/>
    <protectedRange sqref="F292:F299 H292 F307 H307" name="COTACOES_92_5_1_1"/>
    <protectedRange sqref="F292:F299 H292 F307 H307" name="COTACOES_1_12_13_1_1_1_1"/>
    <protectedRange sqref="H328:H333 F328:F339 H336:H339" name="COTACOES_92_10_1"/>
    <protectedRange sqref="H328:H333 F328:F339 H336:H339" name="COTACOES_1_12_13_1_2_1"/>
    <protectedRange sqref="F373:F378 H373" name="COTACOES_92_11_1"/>
    <protectedRange sqref="F373:F378 H373" name="COTACOES_1_12_15_1_1"/>
    <protectedRange sqref="F421 H400 C421 F400 C400 H421" name="COTACOES_92_13_1"/>
    <protectedRange sqref="F421 H400 F400 H421" name="COTACOES_1_12_15_1_2_1"/>
    <protectedRange sqref="C507" name="COTACOES_92_4_1_1"/>
    <protectedRange sqref="C500" name="COTACOES_92_4_2_1"/>
    <protectedRange sqref="C786:C787 C789 C388 C754 C751:C752 C800 C768:C769 C771 C792" name="COTACOES_92_3_1_1"/>
    <protectedRange sqref="C742" name="COTACOES_92_22_1"/>
    <protectedRange sqref="H981" name="COTACOES_93_1_4_1"/>
    <protectedRange sqref="H981" name="COTACOES_1_12_1_1_4_1"/>
    <protectedRange sqref="H992" name="COTACOES_93_1_5_1"/>
    <protectedRange sqref="H992" name="COTACOES_1_12_1_1_5_1"/>
    <protectedRange sqref="H1011" name="COTACOES_93_1_6_1"/>
    <protectedRange sqref="H1011" name="COTACOES_1_12_1_1_6_1"/>
    <protectedRange sqref="C1222" name="COTACOES_91_1_2_1"/>
    <protectedRange sqref="C1215" name="COTACOES_91_1_3_1"/>
    <protectedRange sqref="C1381:C1382" name="COTACOES_68_1_1"/>
    <protectedRange sqref="G1519 G1535 G1511 G1503 G1527" name="COTACOES_27_1_2_1_8_1"/>
    <protectedRange sqref="C1543 C1519 C1535 C1511 C1503 C1527" name="COTACOES_5_1_8_1"/>
    <protectedRange sqref="C1400:C1404 C1415:C1419 C1430:C1434 C1445:C1449 C1460:C1464 C1475:C1479 C1490:C1494" name="COTACOES_32_1_1"/>
    <protectedRange sqref="G1575 G1578 G1581" name="COTACOES_27_1_2_1_17_1"/>
    <protectedRange sqref="C1574:C1579 C1581:C1582" name="COTACOES_5_1_17_1"/>
    <protectedRange sqref="C1639 C1622 C1616 C1645" name="COTACOES_15_1_1"/>
    <protectedRange sqref="C1728:C1730 C1739:C1741" name="COTACOES_8_1_1"/>
    <protectedRange sqref="C1706:C1708 C1717:C1719" name="COTACOES_9_1_1_3"/>
    <protectedRange sqref="C1692" name="COTACOES_10_1_1"/>
    <protectedRange sqref="C1766" name="COTACOES_42_1_3"/>
    <protectedRange sqref="C1780" name="COTACOES_42_1_1_1"/>
    <protectedRange sqref="F1792:F1795" name="COTACOES_92_25_1"/>
    <protectedRange sqref="C1794" name="COTACOES_42_1_2_1"/>
    <protectedRange sqref="F1792:F1795" name="COTACOES_1_12_17_1_1_1"/>
    <protectedRange sqref="F1750:F1753 F1785:F1788 F1921:F1923" name="COTACOES_92_26_1"/>
    <protectedRange sqref="G1752" name="COTACOES_27_1_1_3_1"/>
    <protectedRange sqref="F1750:F1753 F1785:F1788 F1921:F1923" name="COTACOES_1_12_17_1_2_1"/>
    <protectedRange sqref="F1757:F1760" name="COTACOES_92_27_1"/>
    <protectedRange sqref="G1759" name="COTACOES_27_1_1_4_1"/>
    <protectedRange sqref="F1757:F1760" name="COTACOES_1_12_17_1_3_1"/>
    <protectedRange sqref="C1817" name="COTACOES_37_1_1"/>
    <protectedRange sqref="C1823" name="COTACOES_82_1_1"/>
    <protectedRange sqref="C1836" name="COTACOES_58_1_1"/>
    <protectedRange sqref="C1842" name="COTACOES_61_1_1"/>
    <protectedRange sqref="C1848" name="COTACOES_40_1_1"/>
    <protectedRange sqref="C1854" name="COTACOES_36_1_2"/>
    <protectedRange sqref="C1890" name="COTACOES_41_1_2"/>
    <protectedRange sqref="C1866 C1884" name="COTACOES_41_1_1_1"/>
    <protectedRange sqref="C1860" name="COTACOES_36_1_1_1"/>
    <protectedRange sqref="C1872 C1878" name="COTACOES_44_1_1"/>
    <protectedRange sqref="C1896" name="COTACOES_51_1_1"/>
    <protectedRange sqref="G1896" name="COTACOES_54_1_1"/>
    <protectedRange sqref="C1902 C2377 C2848:C2849 C2999 C2993 C2976 C3029 C2983:C2985 C2543 C2556 C2549 C2573" name="COTACOES_55_1_3"/>
    <protectedRange sqref="G1902" name="COTACOES_57_1_1"/>
    <protectedRange sqref="C1944" name="COTACOES_75_1_2"/>
    <protectedRange sqref="C1950" name="COTACOES_75_1_1_1"/>
    <protectedRange sqref="C1980 C1972" name="COTACOES_78_1_1"/>
    <protectedRange sqref="C1963" name="COTACOES_80_1_2"/>
    <protectedRange sqref="C1956" name="COTACOES_80_1_1_1"/>
    <protectedRange sqref="F2124:F2126 F2130:F2132 F2118:F2120 F2112:F2114 H2131:H2132" name="COTACOES_93_1_7_1"/>
    <protectedRange sqref="F2124:F2126 F2130:F2132 F2118:F2120 F2112:F2114 H2131:H2132" name="COTACOES_1_12_1_1_7_1"/>
    <protectedRange sqref="H2120 H2125:H2126" name="COTACOES_93_1_8_1"/>
    <protectedRange sqref="H2120 H2125:H2126" name="COTACOES_1_12_1_1_8_1"/>
    <protectedRange sqref="H2119" name="COTACOES_93_1_9_1"/>
    <protectedRange sqref="H2119" name="COTACOES_1_12_1_1_9_1"/>
    <protectedRange sqref="H2193 H2145 H2161 H2137 H2169 H2153 H2177 H2035 H2051 H2027 H2059 H2043 H2067 H2019 H2099 H2091 H2083 H2012 H2106 H2075 H2185 H2113:H2114" name="COTACOES_93_1_10_1"/>
    <protectedRange sqref="H2193 H2145 H2161 H2137 H2169 H2153 H2177 H2035 H2051 H2027 H2059 H2043 H2067 H2019 H2099 H2091 H2083 H2012 H2106 H2075 H2185 H2113:H2114" name="COTACOES_1_12_1_1_10_1"/>
    <protectedRange sqref="F2090:F2092 F2082:F2084 F2160:F2162 H2144 F2136:F2138 H2160 F2144:F2148 H2136 F2168:F2170 H2168 F2152:F2154 H2152 F2176:F2178 H2176 F2034:F2036 H2192 F2050:F2052 F2074:F2076 F2026:F2028 F2192:F2194 F2058:F2060 F2184:F2186 F2042:F2044 H2184 F2066:F2068 F2018:F2020 F2098:F2100 H2147" name="COTACOES_93_1_11_1"/>
    <protectedRange sqref="F2090:F2092 F2082:F2084 F2160:F2162 H2144 F2136:F2138 H2160 F2144:F2148 H2136 F2168:F2170 H2168 F2152:F2154 H2152 F2176:F2178 H2176 F2034:F2036 H2192 F2050:F2052 F2074:F2076 F2026:F2028 F2192:F2194 F2058:F2060 F2184:F2186 F2042:F2044 H2184 F2066:F2068 F2018:F2020 F2098:F2100 H2147" name="COTACOES_1_12_1_1_11_1"/>
    <protectedRange sqref="F2163:F2164 H2163" name="COTACOES_93_1_12_1"/>
    <protectedRange sqref="F2163:F2164 H2163" name="COTACOES_1_12_1_1_12_1"/>
    <protectedRange sqref="F2139:F2140 H2139" name="COTACOES_93_1_13_1"/>
    <protectedRange sqref="F2139:F2140 H2139" name="COTACOES_1_12_1_1_13_1"/>
    <protectedRange sqref="F2171:F2172 H2171" name="COTACOES_93_1_14_1"/>
    <protectedRange sqref="F2171:F2172 H2171" name="COTACOES_1_12_1_1_14_1"/>
    <protectedRange sqref="F2155:F2156 H2155" name="COTACOES_93_1_15_1"/>
    <protectedRange sqref="F2155:F2156 H2155" name="COTACOES_1_12_1_1_15_1"/>
    <protectedRange sqref="H2187 F2179:F2180 H2195 F2187:F2188 F2195:F2196 H2179" name="COTACOES_93_1_16_1"/>
    <protectedRange sqref="H2187 F2179:F2180 H2195 F2187:F2188 F2195:F2196 H2179" name="COTACOES_1_12_1_1_16_1"/>
    <protectedRange sqref="F2037:F2038 H2037" name="COTACOES_93_1_17_1"/>
    <protectedRange sqref="F2037:F2038 H2037" name="COTACOES_1_12_1_1_17_1"/>
    <protectedRange sqref="F2053:F2054 H2053" name="COTACOES_93_1_18_1"/>
    <protectedRange sqref="F2053:F2054 H2053" name="COTACOES_1_12_1_1_18_1"/>
    <protectedRange sqref="F2029:F2030 H2029" name="COTACOES_93_1_19_1"/>
    <protectedRange sqref="F2029:F2030 H2029" name="COTACOES_1_12_1_1_19_1"/>
    <protectedRange sqref="F2061:F2062 H2061" name="COTACOES_93_1_20_1"/>
    <protectedRange sqref="F2061:F2062 H2061" name="COTACOES_1_12_1_1_20_1"/>
    <protectedRange sqref="F2069:F2070 H2077 F2077:F2078 H2069" name="COTACOES_93_1_21_1"/>
    <protectedRange sqref="F2069:F2070 H2077 F2077:F2078 H2069" name="COTACOES_1_12_1_1_21_1"/>
    <protectedRange sqref="F2045:F2046 H2045" name="COTACOES_93_1_22_1"/>
    <protectedRange sqref="F2045:F2046 H2045" name="COTACOES_1_12_1_1_22_1"/>
    <protectedRange sqref="F2101:F2102 H2101" name="COTACOES_93_1_23_1"/>
    <protectedRange sqref="F2101:F2102 H2101" name="COTACOES_1_12_1_1_23_1"/>
    <protectedRange sqref="F2093:F2094 F2085:F2086 H2164 F2021:F2022 H2172 H2180 H2188 H2085:H2086 H2030 H2038 H2046 H2054 H2062 H2070 H2078 H2093:H2094 H2196 H2102 H2140 H2148 H2156 H2021:H2022" name="COTACOES_93_1_24_1"/>
    <protectedRange sqref="F2093:F2094 F2085:F2086 H2164 F2021:F2022 H2172 H2180 H2188 H2085:H2086 H2030 H2038 H2046 H2054 H2062 H2070 H2078 H2093:H2094 H2196 H2102 H2140 H2148 H2156 H2021:H2022" name="COTACOES_1_12_1_1_24_1"/>
    <protectedRange sqref="H2074 F2012:F2014 H2082 H2108 F2106:F2108 H2090 H2098 H2018 H2066 H2042 H2058 H2026 H2050 H2034 H2014" name="COTACOES_93_1_25_1"/>
    <protectedRange sqref="H2074 F2012:F2014 H2082 H2108 F2106:F2108 H2090 H2098 H2018 H2066 H2042 H2058 H2026 H2050 H2034 H2014" name="COTACOES_1_12_1_1_25_1"/>
    <protectedRange sqref="C2308" name="COTACOES_62_1_1"/>
    <protectedRange sqref="C2369" name="COTACOES_4_1_1"/>
    <protectedRange sqref="F180" name="COTACOES_92_2_6_1"/>
    <protectedRange sqref="F180" name="COTACOES_1_12_18_6_1"/>
    <protectedRange sqref="F127:F128" name="COTACOES_92_2_3_1_1"/>
    <protectedRange sqref="F127:F128" name="COTACOES_1_12_18_3_1_1"/>
    <protectedRange sqref="C826:C827" name="COTACOES_92_4_3"/>
    <protectedRange sqref="F300:F303 F3683:F3684 F315:F318 F360:F361 F3416:F3417 F3436:F3437 F3449:F3452 F3568:F3569 F2410 F2418 F2426 F2986:F2987 F3979 F4006 F4271 F4314 F4403" name="COTACOES_92_8_1_1"/>
    <protectedRange sqref="F300:F303 F3683:F3684 F315:F318 F360:F361 F3416:F3417 F3436:F3437 F3449:F3452 F3568:F3569 F2410 F2418 F2426 F2986:F2987 F3979 F4006 F4271 F4314 F4403" name="COTACOES_1_12_13_1_3_1"/>
    <protectedRange sqref="C777" name="COTACOES_92_2_7"/>
    <protectedRange sqref="F2583:F2584 F2600:F2601 F2605:F2606 F2610:F2611 F2615:F2616 F2620:F2621 F2625:F2626 F2630:F2631 F2635:F2636 F2651:F2652 F2656:F2657 F2661:F2662 F2706:F2707 F2711:F2712 F2716:F2717 F2721:F2722 F2726:F2727 F2731:F2732 F2736:F2737 F2741:F2742 F2746:F2747 F2751:F2752 F2763:F2764 F2640:F2641 F2643:F2647" name="COTACOES_73_1_2_1_1"/>
    <protectedRange sqref="F2583:F2584 F2600:F2601 F2605:F2606 F2610:F2611 F2615:F2616 F2620:F2621 F2625:F2626 F2630:F2631 F2635:F2636 F2651:F2652 F2656:F2657 F2661:F2662 F2706:F2707 F2711:F2712 F2716:F2717 F2721:F2722 F2726:F2727 F2731:F2732 F2736:F2737 F2741:F2742 F2746:F2747 F2751:F2752 F2763:F2764 F2640:F2641 F2643:F2647" name="COTACOES_1_12_6_1_1_1_1"/>
    <protectedRange sqref="F2924:F2926" name="COTACOES_96_1_1_1_1"/>
    <protectedRange sqref="F2924:F2926" name="COTACOES_1_12_4_1_1_1_1"/>
    <protectedRange sqref="H2924:H2926" name="COTACOES_96_1_1_2_1"/>
    <protectedRange sqref="H2924:H2926" name="COTACOES_1_12_4_1_1_2_1"/>
    <protectedRange sqref="C3122" name="COTACOES_92_2_3_2"/>
    <protectedRange sqref="C3125" name="COTACOES_55_1_1_3"/>
    <protectedRange sqref="C3130" name="COTACOES_92_2_5_1"/>
    <protectedRange sqref="C3136" name="COTACOES_55_1_2_1"/>
    <protectedRange sqref="C3417:C3419" name="COTACOES_55_1_1_1_1"/>
    <protectedRange sqref="C3437:C3439 C3452" name="COTACOES_55_1_1_2_1"/>
    <protectedRange sqref="H3431" name="COTACOES_92_6_1_1"/>
    <protectedRange sqref="H3431" name="COTACOES_1_12_10_1_1_1"/>
    <protectedRange sqref="C3443" name="COTACOES_92_1_2_1"/>
    <protectedRange sqref="C3446:C3448 C3513 C3450:C3451 C3453 C3519" name="COTACOES_55_1_1_4_1"/>
    <protectedRange sqref="C3546 C3555" name="COTACOES_92_12_1"/>
    <protectedRange sqref="C3549:C3550 C3558:C3559" name="COTACOES_55_1_5_1"/>
    <protectedRange sqref="C3563" name="COTACOES_92_14_1"/>
    <protectedRange sqref="C3565:C3567" name="COTACOES_55_1_6_1"/>
    <protectedRange sqref="C3575:C3585" name="COTACOES_92_15_1"/>
    <protectedRange sqref="F3586" name="COTACOES_92_8_3_2_1"/>
    <protectedRange sqref="F3586" name="COTACOES_1_12_13_1_4_2_1"/>
    <protectedRange sqref="C3638" name="COTACOES_9_1_1_1_1"/>
    <protectedRange sqref="C3647:C3649" name="COTACOES_9_1_1_2_1"/>
    <protectedRange sqref="C3677" name="COTACOES_92_16_1"/>
    <protectedRange sqref="C3680:C3681" name="COTACOES_55_1_7_2"/>
    <protectedRange sqref="F3570:F3572 F3685:F3686" name="COTACOES_92_8_3_3_1"/>
    <protectedRange sqref="F3570:F3572 F3685:F3686" name="COTACOES_1_12_13_1_4_3_1"/>
    <protectedRange sqref="H3569 H3682 H3684" name="COTACOES_92_8_3_4_1"/>
    <protectedRange sqref="H3569 H3682 H3684" name="COTACOES_1_12_13_1_4_4_1"/>
    <protectedRange sqref="C3690" name="COTACOES_92_17_2"/>
    <protectedRange sqref="C3696:C3698" name="COTACOES_55_1_8_1"/>
    <protectedRange sqref="H3699" name="COTACOES_92_8_3_5_1"/>
    <protectedRange sqref="H3699" name="COTACOES_1_12_13_1_4_5_1"/>
    <protectedRange sqref="C3662 C3838 C3869 C3876 C3883 C3901" name="COTACOES_55_1_7_1_2"/>
    <protectedRange sqref="C3716 C3725 C3734 C3743 C3752 C3761" name="COTACOES_92_17_1_1"/>
    <protectedRange sqref="C3782" name="COTACOES_55_1_7_1_1_1"/>
    <protectedRange sqref="C2385 C2477" name="COTACOES_92_3_2"/>
    <protectedRange sqref="C2389 C2393 C2397 C2401 C2405 C2417 C2409 C2411:C2412 C2419:C2420 C2425 C2427:C2428 C2433 C2437 C2441 C2445 C2449 C2453 C2457 C2461 C2465 C2469 C2473" name="COTACOES_92_5_2"/>
    <protectedRange sqref="C3799 C3789:C3791 C3795:C3796" name="COTACOES_55_1_7_1_1_1_1"/>
    <protectedRange sqref="C4030 C4048" name="COTACOES_92_17_1_1_1"/>
    <protectedRange sqref="C2481:C2483 C2487:C2489 C2493:C2495 C2499:C2501 C2505:C2507 C2511:C2513 C2523:C2525 C2529:C2531 C2535:C2537 C2517:C2519" name="COTACOES_92_3_2_1"/>
  </protectedRanges>
  <autoFilter ref="A5:L4423">
    <filterColumn colId="11">
      <filters>
        <filter val="0,36"/>
        <filter val="0,47"/>
        <filter val="0,72"/>
        <filter val="0,78"/>
        <filter val="0,80"/>
        <filter val="0,97"/>
        <filter val="1,00"/>
        <filter val="1,50"/>
        <filter val="1,56"/>
        <filter val="1,83"/>
        <filter val="10,00"/>
        <filter val="100,00"/>
        <filter val="11,08"/>
        <filter val="11,66"/>
        <filter val="11,90"/>
        <filter val="12,00"/>
        <filter val="12,60"/>
        <filter val="120,00"/>
        <filter val="126,00"/>
        <filter val="13,00"/>
        <filter val="14,00"/>
        <filter val="14,28"/>
        <filter val="14,55"/>
        <filter val="145,15"/>
        <filter val="15,00"/>
        <filter val="152,63"/>
        <filter val="16,58"/>
        <filter val="16,80"/>
        <filter val="167,00"/>
        <filter val="17,00"/>
        <filter val="174,18"/>
        <filter val="18,06"/>
        <filter val="2,00"/>
        <filter val="2,59"/>
        <filter val="2,80"/>
        <filter val="21,06"/>
        <filter val="215,00"/>
        <filter val="22,00"/>
        <filter val="22,09"/>
        <filter val="22,55"/>
        <filter val="22,70"/>
        <filter val="24,73"/>
        <filter val="249,00"/>
        <filter val="26,42"/>
        <filter val="26,85"/>
        <filter val="27,00"/>
        <filter val="3,00"/>
        <filter val="3,87"/>
        <filter val="3,97"/>
        <filter val="300,00"/>
        <filter val="35,30"/>
        <filter val="36,00"/>
        <filter val="360,00"/>
        <filter val="38,94"/>
        <filter val="4,00"/>
        <filter val="4,27"/>
        <filter val="4,60"/>
        <filter val="4,68"/>
        <filter val="4,90"/>
        <filter val="40,00"/>
        <filter val="40,10"/>
        <filter val="40,15"/>
        <filter val="40,66"/>
        <filter val="42,00"/>
        <filter val="440,00"/>
        <filter val="45,00"/>
        <filter val="45,50"/>
        <filter val="47,19"/>
        <filter val="480,00"/>
        <filter val="49,30"/>
        <filter val="5,65"/>
        <filter val="53,55"/>
        <filter val="54,04"/>
        <filter val="57,00"/>
        <filter val="576,34"/>
        <filter val="6,00"/>
        <filter val="6,12"/>
        <filter val="63,63"/>
        <filter val="64,00"/>
        <filter val="7,00"/>
        <filter val="7,24"/>
        <filter val="70,00"/>
        <filter val="8,00"/>
        <filter val="8,87"/>
        <filter val="8,91"/>
        <filter val="81,52"/>
        <filter val="82,00"/>
        <filter val="84,00"/>
        <filter val="89,54"/>
        <filter val="89,76"/>
        <filter val="9,00"/>
        <filter val="96,00"/>
      </filters>
    </filterColumn>
  </autoFilter>
  <mergeCells count="1254">
    <mergeCell ref="A4408:A4418"/>
    <mergeCell ref="B4408:B4418"/>
    <mergeCell ref="A4419:A4423"/>
    <mergeCell ref="B4419:B4423"/>
    <mergeCell ref="A4382:A4393"/>
    <mergeCell ref="B4382:B4393"/>
    <mergeCell ref="A4394:A4399"/>
    <mergeCell ref="B4394:B4399"/>
    <mergeCell ref="A4400:A4407"/>
    <mergeCell ref="B4400:B4407"/>
    <mergeCell ref="A4359:A4364"/>
    <mergeCell ref="B4359:B4364"/>
    <mergeCell ref="A4365:A4372"/>
    <mergeCell ref="B4365:B4372"/>
    <mergeCell ref="A4373:A4381"/>
    <mergeCell ref="B4373:B4381"/>
    <mergeCell ref="A4333:A4340"/>
    <mergeCell ref="B4333:B4340"/>
    <mergeCell ref="A4341:A4348"/>
    <mergeCell ref="B4341:B4348"/>
    <mergeCell ref="A4349:A4358"/>
    <mergeCell ref="B4349:B4358"/>
    <mergeCell ref="A4307:A4318"/>
    <mergeCell ref="B4307:B4318"/>
    <mergeCell ref="A4319:A4326"/>
    <mergeCell ref="B4319:B4326"/>
    <mergeCell ref="A4327:A4332"/>
    <mergeCell ref="B4327:B4332"/>
    <mergeCell ref="A4284:A4292"/>
    <mergeCell ref="B4284:B4292"/>
    <mergeCell ref="A4293:A4300"/>
    <mergeCell ref="B4293:B4300"/>
    <mergeCell ref="A4301:A4306"/>
    <mergeCell ref="B4301:B4306"/>
    <mergeCell ref="A4245:A4256"/>
    <mergeCell ref="B4245:B4256"/>
    <mergeCell ref="A4257:A4275"/>
    <mergeCell ref="B4257:B4275"/>
    <mergeCell ref="A4276:A4283"/>
    <mergeCell ref="B4276:B4283"/>
    <mergeCell ref="A4221:A4226"/>
    <mergeCell ref="B4221:B4226"/>
    <mergeCell ref="A4227:A4232"/>
    <mergeCell ref="B4227:B4232"/>
    <mergeCell ref="A4233:A4244"/>
    <mergeCell ref="B4233:B4244"/>
    <mergeCell ref="A4202:A4206"/>
    <mergeCell ref="B4202:B4206"/>
    <mergeCell ref="A4207:A4212"/>
    <mergeCell ref="B4207:B4212"/>
    <mergeCell ref="A4213:A4220"/>
    <mergeCell ref="B4213:B4220"/>
    <mergeCell ref="A4183:A4190"/>
    <mergeCell ref="B4183:B4190"/>
    <mergeCell ref="A4191:A4196"/>
    <mergeCell ref="B4191:B4196"/>
    <mergeCell ref="A4197:A4201"/>
    <mergeCell ref="B4197:B4201"/>
    <mergeCell ref="A4153:A4158"/>
    <mergeCell ref="B4153:B4158"/>
    <mergeCell ref="A4159:A4176"/>
    <mergeCell ref="B4159:B4176"/>
    <mergeCell ref="A4177:A4182"/>
    <mergeCell ref="B4177:B4182"/>
    <mergeCell ref="A4120:A4127"/>
    <mergeCell ref="B4120:B4127"/>
    <mergeCell ref="A4128:A4143"/>
    <mergeCell ref="B4128:B4143"/>
    <mergeCell ref="A4144:A4152"/>
    <mergeCell ref="B4144:B4152"/>
    <mergeCell ref="A4090:A4099"/>
    <mergeCell ref="B4090:B4099"/>
    <mergeCell ref="A4100:A4109"/>
    <mergeCell ref="B4100:B4109"/>
    <mergeCell ref="A4110:A4119"/>
    <mergeCell ref="B4110:B4119"/>
    <mergeCell ref="A4064:A4073"/>
    <mergeCell ref="B4064:B4073"/>
    <mergeCell ref="A4074:A4081"/>
    <mergeCell ref="B4074:B4081"/>
    <mergeCell ref="A4082:A4089"/>
    <mergeCell ref="B4082:B4089"/>
    <mergeCell ref="A4037:A4045"/>
    <mergeCell ref="B4037:B4045"/>
    <mergeCell ref="A4046:A4054"/>
    <mergeCell ref="B4046:B4054"/>
    <mergeCell ref="A4055:A4063"/>
    <mergeCell ref="B4055:B4063"/>
    <mergeCell ref="A4011:A4017"/>
    <mergeCell ref="B4011:B4017"/>
    <mergeCell ref="A4018:A4027"/>
    <mergeCell ref="B4018:B4027"/>
    <mergeCell ref="A4028:A4036"/>
    <mergeCell ref="B4028:B4036"/>
    <mergeCell ref="A3959:A3967"/>
    <mergeCell ref="B3959:B3967"/>
    <mergeCell ref="A3968:A3983"/>
    <mergeCell ref="B3968:B3983"/>
    <mergeCell ref="A3984:A4010"/>
    <mergeCell ref="B3984:B4010"/>
    <mergeCell ref="A3936:A3943"/>
    <mergeCell ref="B3936:B3943"/>
    <mergeCell ref="A3944:A3948"/>
    <mergeCell ref="B3944:B3948"/>
    <mergeCell ref="A3949:A3958"/>
    <mergeCell ref="B3949:B3958"/>
    <mergeCell ref="A3923:A3928"/>
    <mergeCell ref="B3923:B3928"/>
    <mergeCell ref="A3929:A3935"/>
    <mergeCell ref="B3929:B3935"/>
    <mergeCell ref="A3899:A3908"/>
    <mergeCell ref="B3899:B3908"/>
    <mergeCell ref="A3909:A3914"/>
    <mergeCell ref="B3909:B3914"/>
    <mergeCell ref="A3915:A3922"/>
    <mergeCell ref="B3915:B3922"/>
    <mergeCell ref="A3881:A3886"/>
    <mergeCell ref="B3881:B3886"/>
    <mergeCell ref="A3887:A3892"/>
    <mergeCell ref="B3887:B3892"/>
    <mergeCell ref="A3893:A3898"/>
    <mergeCell ref="B3893:B3898"/>
    <mergeCell ref="A3863:A3866"/>
    <mergeCell ref="B3863:B3866"/>
    <mergeCell ref="A3867:A3873"/>
    <mergeCell ref="B3867:B3873"/>
    <mergeCell ref="A3874:A3880"/>
    <mergeCell ref="B3874:B3880"/>
    <mergeCell ref="A3836:A3842"/>
    <mergeCell ref="B3836:B3842"/>
    <mergeCell ref="A3843:A3850"/>
    <mergeCell ref="B3843:B3850"/>
    <mergeCell ref="A3851:A3862"/>
    <mergeCell ref="B3851:B3862"/>
    <mergeCell ref="A3812:A3819"/>
    <mergeCell ref="B3812:B3819"/>
    <mergeCell ref="A3820:A3827"/>
    <mergeCell ref="B3820:B3827"/>
    <mergeCell ref="A3828:A3835"/>
    <mergeCell ref="B3828:B3835"/>
    <mergeCell ref="A3793:A3796"/>
    <mergeCell ref="B3793:B3796"/>
    <mergeCell ref="A3797:A3803"/>
    <mergeCell ref="B3797:B3803"/>
    <mergeCell ref="A3804:A3811"/>
    <mergeCell ref="B3804:B3811"/>
    <mergeCell ref="A3774:A3779"/>
    <mergeCell ref="B3774:B3779"/>
    <mergeCell ref="A3780:A3786"/>
    <mergeCell ref="B3780:B3786"/>
    <mergeCell ref="A3787:A3792"/>
    <mergeCell ref="B3787:B3792"/>
    <mergeCell ref="A3750:A3758"/>
    <mergeCell ref="B3750:B3758"/>
    <mergeCell ref="A3759:A3767"/>
    <mergeCell ref="B3759:B3767"/>
    <mergeCell ref="A3768:A3773"/>
    <mergeCell ref="B3768:B3773"/>
    <mergeCell ref="A3723:A3731"/>
    <mergeCell ref="B3723:B3731"/>
    <mergeCell ref="A3732:A3740"/>
    <mergeCell ref="B3732:B3740"/>
    <mergeCell ref="A3741:A3749"/>
    <mergeCell ref="B3741:B3749"/>
    <mergeCell ref="A3706:A3709"/>
    <mergeCell ref="B3706:B3709"/>
    <mergeCell ref="A3710:A3713"/>
    <mergeCell ref="B3710:B3713"/>
    <mergeCell ref="A3714:A3722"/>
    <mergeCell ref="B3714:B3722"/>
    <mergeCell ref="A3675:A3687"/>
    <mergeCell ref="B3675:B3687"/>
    <mergeCell ref="A3688:A3700"/>
    <mergeCell ref="B3688:B3700"/>
    <mergeCell ref="A3701:A3705"/>
    <mergeCell ref="B3701:B3705"/>
    <mergeCell ref="A3652:A3659"/>
    <mergeCell ref="B3652:B3659"/>
    <mergeCell ref="A3660:A3666"/>
    <mergeCell ref="B3660:B3666"/>
    <mergeCell ref="A3667:A3674"/>
    <mergeCell ref="B3667:B3674"/>
    <mergeCell ref="A3629:A3635"/>
    <mergeCell ref="B3629:B3635"/>
    <mergeCell ref="A3636:A3644"/>
    <mergeCell ref="B3636:B3644"/>
    <mergeCell ref="A3645:A3651"/>
    <mergeCell ref="B3645:B3651"/>
    <mergeCell ref="A3611:A3616"/>
    <mergeCell ref="B3611:B3616"/>
    <mergeCell ref="A3617:A3622"/>
    <mergeCell ref="B3617:B3622"/>
    <mergeCell ref="A3623:A3628"/>
    <mergeCell ref="B3623:B3628"/>
    <mergeCell ref="A3573:A3587"/>
    <mergeCell ref="B3573:B3587"/>
    <mergeCell ref="A3588:A3594"/>
    <mergeCell ref="B3588:B3594"/>
    <mergeCell ref="A3595:A3610"/>
    <mergeCell ref="B3595:B3610"/>
    <mergeCell ref="A3544:A3552"/>
    <mergeCell ref="B3544:B3552"/>
    <mergeCell ref="A3553:A3560"/>
    <mergeCell ref="B3553:B3560"/>
    <mergeCell ref="A3561:A3572"/>
    <mergeCell ref="B3561:B3572"/>
    <mergeCell ref="A3520:A3524"/>
    <mergeCell ref="B3520:B3524"/>
    <mergeCell ref="A3525:A3535"/>
    <mergeCell ref="B3525:B3535"/>
    <mergeCell ref="A3536:A3543"/>
    <mergeCell ref="B3536:B3543"/>
    <mergeCell ref="A3506:A3509"/>
    <mergeCell ref="B3506:B3509"/>
    <mergeCell ref="A3510:A3513"/>
    <mergeCell ref="B3510:B3513"/>
    <mergeCell ref="A3514:A3519"/>
    <mergeCell ref="B3514:B3519"/>
    <mergeCell ref="A3484:A3492"/>
    <mergeCell ref="B3484:B3492"/>
    <mergeCell ref="A3493:A3501"/>
    <mergeCell ref="B3493:B3501"/>
    <mergeCell ref="A3502:A3505"/>
    <mergeCell ref="B3502:B3505"/>
    <mergeCell ref="A3465:A3468"/>
    <mergeCell ref="B3465:B3468"/>
    <mergeCell ref="A3469:A3478"/>
    <mergeCell ref="B3469:B3478"/>
    <mergeCell ref="A3479:A3483"/>
    <mergeCell ref="B3479:B3483"/>
    <mergeCell ref="A3429:A3440"/>
    <mergeCell ref="B3429:B3440"/>
    <mergeCell ref="A3441:A3453"/>
    <mergeCell ref="B3441:B3453"/>
    <mergeCell ref="A3454:A3464"/>
    <mergeCell ref="B3454:B3464"/>
    <mergeCell ref="A3402:A3405"/>
    <mergeCell ref="B3402:B3405"/>
    <mergeCell ref="A3406:A3420"/>
    <mergeCell ref="B3406:B3420"/>
    <mergeCell ref="A3421:A3428"/>
    <mergeCell ref="B3421:B3428"/>
    <mergeCell ref="A3385:A3389"/>
    <mergeCell ref="B3385:B3389"/>
    <mergeCell ref="A3390:A3397"/>
    <mergeCell ref="B3390:B3397"/>
    <mergeCell ref="A3398:A3401"/>
    <mergeCell ref="B3398:B3401"/>
    <mergeCell ref="A3365:A3370"/>
    <mergeCell ref="B3365:B3370"/>
    <mergeCell ref="A3371:A3379"/>
    <mergeCell ref="B3371:B3379"/>
    <mergeCell ref="A3380:A3384"/>
    <mergeCell ref="B3380:B3384"/>
    <mergeCell ref="A3344:A3351"/>
    <mergeCell ref="B3344:B3351"/>
    <mergeCell ref="A3352:A3357"/>
    <mergeCell ref="B3352:B3357"/>
    <mergeCell ref="A3358:A3364"/>
    <mergeCell ref="B3358:B3364"/>
    <mergeCell ref="A3324:A3331"/>
    <mergeCell ref="B3324:B3331"/>
    <mergeCell ref="A3332:A3338"/>
    <mergeCell ref="B3332:B3338"/>
    <mergeCell ref="A3339:A3343"/>
    <mergeCell ref="B3339:B3343"/>
    <mergeCell ref="A3296:A3311"/>
    <mergeCell ref="B3296:B3311"/>
    <mergeCell ref="A3312:A3317"/>
    <mergeCell ref="B3312:B3317"/>
    <mergeCell ref="A3318:A3323"/>
    <mergeCell ref="B3318:B3323"/>
    <mergeCell ref="A3260:A3276"/>
    <mergeCell ref="B3260:B3276"/>
    <mergeCell ref="A3277:A3288"/>
    <mergeCell ref="B3277:B3288"/>
    <mergeCell ref="A3289:A3295"/>
    <mergeCell ref="B3289:B3295"/>
    <mergeCell ref="A3227:A3234"/>
    <mergeCell ref="B3227:B3234"/>
    <mergeCell ref="A3235:A3251"/>
    <mergeCell ref="B3235:B3251"/>
    <mergeCell ref="A3252:A3259"/>
    <mergeCell ref="B3252:B3259"/>
    <mergeCell ref="A3202:A3205"/>
    <mergeCell ref="B3202:B3205"/>
    <mergeCell ref="A3206:A3215"/>
    <mergeCell ref="B3206:B3215"/>
    <mergeCell ref="A3216:A3226"/>
    <mergeCell ref="B3216:B3226"/>
    <mergeCell ref="A3188:A3192"/>
    <mergeCell ref="B3188:B3192"/>
    <mergeCell ref="A3193:A3197"/>
    <mergeCell ref="B3193:B3197"/>
    <mergeCell ref="A3198:A3201"/>
    <mergeCell ref="B3198:B3201"/>
    <mergeCell ref="A3169:A3175"/>
    <mergeCell ref="B3169:B3175"/>
    <mergeCell ref="A3176:A3182"/>
    <mergeCell ref="B3176:B3182"/>
    <mergeCell ref="A3183:A3187"/>
    <mergeCell ref="B3183:B3187"/>
    <mergeCell ref="A3154:A3157"/>
    <mergeCell ref="B3154:B3157"/>
    <mergeCell ref="A3158:A3162"/>
    <mergeCell ref="B3158:B3162"/>
    <mergeCell ref="A3163:A3168"/>
    <mergeCell ref="B3163:B3168"/>
    <mergeCell ref="A3141:A3144"/>
    <mergeCell ref="B3141:B3144"/>
    <mergeCell ref="A3145:A3148"/>
    <mergeCell ref="B3145:B3148"/>
    <mergeCell ref="A3149:A3153"/>
    <mergeCell ref="B3149:B3153"/>
    <mergeCell ref="A3120:A3126"/>
    <mergeCell ref="B3120:B3126"/>
    <mergeCell ref="A3127:A3133"/>
    <mergeCell ref="B3127:B3133"/>
    <mergeCell ref="A3134:A3140"/>
    <mergeCell ref="B3134:B3140"/>
    <mergeCell ref="A3100:A3105"/>
    <mergeCell ref="B3100:B3105"/>
    <mergeCell ref="A3106:A3114"/>
    <mergeCell ref="B3106:B3114"/>
    <mergeCell ref="A3115:A3119"/>
    <mergeCell ref="B3115:B3119"/>
    <mergeCell ref="A3080:A3086"/>
    <mergeCell ref="B3080:B3086"/>
    <mergeCell ref="A3087:A3093"/>
    <mergeCell ref="B3087:B3093"/>
    <mergeCell ref="A3094:A3099"/>
    <mergeCell ref="B3094:B3099"/>
    <mergeCell ref="A3059:A3065"/>
    <mergeCell ref="B3059:B3065"/>
    <mergeCell ref="A3066:A3072"/>
    <mergeCell ref="B3066:B3072"/>
    <mergeCell ref="A3073:A3079"/>
    <mergeCell ref="B3073:B3079"/>
    <mergeCell ref="A3038:A3044"/>
    <mergeCell ref="B3038:B3044"/>
    <mergeCell ref="A3045:A3051"/>
    <mergeCell ref="B3045:B3051"/>
    <mergeCell ref="A3052:A3058"/>
    <mergeCell ref="B3052:B3058"/>
    <mergeCell ref="A3019:A3023"/>
    <mergeCell ref="B3019:B3023"/>
    <mergeCell ref="A3024:A3030"/>
    <mergeCell ref="B3024:B3030"/>
    <mergeCell ref="A3031:A3037"/>
    <mergeCell ref="B3031:B3037"/>
    <mergeCell ref="A2997:A3002"/>
    <mergeCell ref="B2997:B3002"/>
    <mergeCell ref="A3003:A3008"/>
    <mergeCell ref="B3003:B3008"/>
    <mergeCell ref="A3009:A3018"/>
    <mergeCell ref="B3009:B3018"/>
    <mergeCell ref="A2971:A2977"/>
    <mergeCell ref="B2971:B2977"/>
    <mergeCell ref="A2978:A2990"/>
    <mergeCell ref="B2978:B2990"/>
    <mergeCell ref="A2991:A2996"/>
    <mergeCell ref="B2991:B2996"/>
    <mergeCell ref="A2954:A2961"/>
    <mergeCell ref="B2954:B2961"/>
    <mergeCell ref="A2962:A2966"/>
    <mergeCell ref="B2962:B2966"/>
    <mergeCell ref="A2967:A2970"/>
    <mergeCell ref="B2967:B2970"/>
    <mergeCell ref="A2935:A2939"/>
    <mergeCell ref="B2935:B2939"/>
    <mergeCell ref="A2940:A2945"/>
    <mergeCell ref="B2940:B2945"/>
    <mergeCell ref="A2946:A2953"/>
    <mergeCell ref="B2946:B2953"/>
    <mergeCell ref="A2916:A2921"/>
    <mergeCell ref="B2916:B2921"/>
    <mergeCell ref="A2922:A2927"/>
    <mergeCell ref="B2922:B2927"/>
    <mergeCell ref="A2928:A2934"/>
    <mergeCell ref="B2928:B2934"/>
    <mergeCell ref="A2896:A2901"/>
    <mergeCell ref="B2896:B2901"/>
    <mergeCell ref="A2902:A2908"/>
    <mergeCell ref="B2902:B2908"/>
    <mergeCell ref="A2909:A2915"/>
    <mergeCell ref="B2909:B2915"/>
    <mergeCell ref="A2881:A2885"/>
    <mergeCell ref="B2881:B2885"/>
    <mergeCell ref="A2886:A2890"/>
    <mergeCell ref="B2886:B2890"/>
    <mergeCell ref="A2891:A2895"/>
    <mergeCell ref="B2891:B2895"/>
    <mergeCell ref="A2866:A2870"/>
    <mergeCell ref="B2866:B2870"/>
    <mergeCell ref="A2871:A2875"/>
    <mergeCell ref="B2871:B2875"/>
    <mergeCell ref="A2876:A2880"/>
    <mergeCell ref="B2876:B2880"/>
    <mergeCell ref="A2851:A2855"/>
    <mergeCell ref="B2851:B2855"/>
    <mergeCell ref="A2856:A2860"/>
    <mergeCell ref="B2856:B2860"/>
    <mergeCell ref="A2861:A2865"/>
    <mergeCell ref="B2861:B2865"/>
    <mergeCell ref="A2831:A2837"/>
    <mergeCell ref="B2831:B2837"/>
    <mergeCell ref="A2838:A2842"/>
    <mergeCell ref="B2838:B2842"/>
    <mergeCell ref="A2843:A2850"/>
    <mergeCell ref="B2843:B2850"/>
    <mergeCell ref="A2814:A2818"/>
    <mergeCell ref="B2814:B2818"/>
    <mergeCell ref="A2819:A2826"/>
    <mergeCell ref="B2819:B2826"/>
    <mergeCell ref="A2827:A2830"/>
    <mergeCell ref="B2827:B2830"/>
    <mergeCell ref="A2796:A2800"/>
    <mergeCell ref="B2796:B2800"/>
    <mergeCell ref="A2801:A2805"/>
    <mergeCell ref="B2801:B2805"/>
    <mergeCell ref="A2806:A2813"/>
    <mergeCell ref="B2806:B2813"/>
    <mergeCell ref="A2781:A2785"/>
    <mergeCell ref="B2781:B2785"/>
    <mergeCell ref="A2786:A2790"/>
    <mergeCell ref="B2786:B2790"/>
    <mergeCell ref="A2791:A2795"/>
    <mergeCell ref="B2791:B2795"/>
    <mergeCell ref="A2766:A2770"/>
    <mergeCell ref="B2766:B2770"/>
    <mergeCell ref="A2771:A2775"/>
    <mergeCell ref="B2771:B2775"/>
    <mergeCell ref="A2776:A2780"/>
    <mergeCell ref="B2776:B2780"/>
    <mergeCell ref="A2749:A2753"/>
    <mergeCell ref="B2749:B2753"/>
    <mergeCell ref="A2754:A2760"/>
    <mergeCell ref="B2754:B2760"/>
    <mergeCell ref="A2761:A2765"/>
    <mergeCell ref="B2761:B2765"/>
    <mergeCell ref="A2734:A2738"/>
    <mergeCell ref="B2734:B2738"/>
    <mergeCell ref="A2739:A2743"/>
    <mergeCell ref="B2739:B2743"/>
    <mergeCell ref="A2744:A2748"/>
    <mergeCell ref="B2744:B2748"/>
    <mergeCell ref="A2719:A2723"/>
    <mergeCell ref="B2719:B2723"/>
    <mergeCell ref="A2724:A2728"/>
    <mergeCell ref="B2724:B2728"/>
    <mergeCell ref="A2729:A2733"/>
    <mergeCell ref="B2729:B2733"/>
    <mergeCell ref="A2704:A2708"/>
    <mergeCell ref="B2704:B2708"/>
    <mergeCell ref="A2709:A2713"/>
    <mergeCell ref="B2709:B2713"/>
    <mergeCell ref="A2714:A2718"/>
    <mergeCell ref="B2714:B2718"/>
    <mergeCell ref="A2680:A2687"/>
    <mergeCell ref="B2680:B2687"/>
    <mergeCell ref="A2688:A2695"/>
    <mergeCell ref="B2688:B2695"/>
    <mergeCell ref="A2696:A2703"/>
    <mergeCell ref="B2696:B2703"/>
    <mergeCell ref="A2659:A2663"/>
    <mergeCell ref="B2659:B2663"/>
    <mergeCell ref="A2664:A2671"/>
    <mergeCell ref="B2664:B2671"/>
    <mergeCell ref="A2672:A2679"/>
    <mergeCell ref="B2672:B2679"/>
    <mergeCell ref="A2638:A2648"/>
    <mergeCell ref="B2638:B2648"/>
    <mergeCell ref="A2649:A2653"/>
    <mergeCell ref="B2649:B2653"/>
    <mergeCell ref="A2654:A2658"/>
    <mergeCell ref="B2654:B2658"/>
    <mergeCell ref="A2623:A2627"/>
    <mergeCell ref="B2623:B2627"/>
    <mergeCell ref="A2628:A2632"/>
    <mergeCell ref="B2628:B2632"/>
    <mergeCell ref="A2633:A2637"/>
    <mergeCell ref="B2633:B2637"/>
    <mergeCell ref="A2608:A2612"/>
    <mergeCell ref="B2608:B2612"/>
    <mergeCell ref="A2613:A2617"/>
    <mergeCell ref="B2613:B2617"/>
    <mergeCell ref="A2618:A2622"/>
    <mergeCell ref="B2618:B2622"/>
    <mergeCell ref="A2591:A2597"/>
    <mergeCell ref="B2591:B2597"/>
    <mergeCell ref="A2598:A2602"/>
    <mergeCell ref="B2598:B2602"/>
    <mergeCell ref="A2603:A2607"/>
    <mergeCell ref="B2603:B2607"/>
    <mergeCell ref="A2576:A2580"/>
    <mergeCell ref="B2576:B2580"/>
    <mergeCell ref="A2581:A2585"/>
    <mergeCell ref="B2581:B2585"/>
    <mergeCell ref="A2586:A2590"/>
    <mergeCell ref="B2586:B2590"/>
    <mergeCell ref="A2545:A2551"/>
    <mergeCell ref="B2545:B2551"/>
    <mergeCell ref="A2552:A2558"/>
    <mergeCell ref="B2552:B2558"/>
    <mergeCell ref="A2569:A2575"/>
    <mergeCell ref="B2569:B2575"/>
    <mergeCell ref="A2559:A2563"/>
    <mergeCell ref="B2559:B2563"/>
    <mergeCell ref="A2564:A2568"/>
    <mergeCell ref="B2564:B2568"/>
    <mergeCell ref="A2527:A2532"/>
    <mergeCell ref="B2527:B2532"/>
    <mergeCell ref="A2533:A2538"/>
    <mergeCell ref="B2533:B2538"/>
    <mergeCell ref="A2539:A2544"/>
    <mergeCell ref="B2539:B2544"/>
    <mergeCell ref="A2509:A2514"/>
    <mergeCell ref="B2509:B2514"/>
    <mergeCell ref="A2515:A2520"/>
    <mergeCell ref="B2515:B2520"/>
    <mergeCell ref="A2521:A2526"/>
    <mergeCell ref="B2521:B2526"/>
    <mergeCell ref="A2491:A2496"/>
    <mergeCell ref="B2491:B2496"/>
    <mergeCell ref="A2497:A2502"/>
    <mergeCell ref="B2497:B2502"/>
    <mergeCell ref="A2503:A2508"/>
    <mergeCell ref="B2503:B2508"/>
    <mergeCell ref="A2475:A2478"/>
    <mergeCell ref="B2475:B2478"/>
    <mergeCell ref="A2479:A2484"/>
    <mergeCell ref="B2479:B2484"/>
    <mergeCell ref="A2485:A2490"/>
    <mergeCell ref="B2485:B2490"/>
    <mergeCell ref="A2463:A2466"/>
    <mergeCell ref="B2463:B2466"/>
    <mergeCell ref="A2467:A2470"/>
    <mergeCell ref="B2467:B2470"/>
    <mergeCell ref="A2471:A2474"/>
    <mergeCell ref="B2471:B2474"/>
    <mergeCell ref="A2451:A2454"/>
    <mergeCell ref="B2451:B2454"/>
    <mergeCell ref="A2455:A2458"/>
    <mergeCell ref="B2455:B2458"/>
    <mergeCell ref="A2459:A2462"/>
    <mergeCell ref="B2459:B2462"/>
    <mergeCell ref="A2439:A2442"/>
    <mergeCell ref="B2439:B2442"/>
    <mergeCell ref="A2443:A2446"/>
    <mergeCell ref="B2443:B2446"/>
    <mergeCell ref="A2447:A2450"/>
    <mergeCell ref="B2447:B2450"/>
    <mergeCell ref="A2423:A2430"/>
    <mergeCell ref="B2423:B2430"/>
    <mergeCell ref="A2431:A2434"/>
    <mergeCell ref="B2431:B2434"/>
    <mergeCell ref="A2435:A2438"/>
    <mergeCell ref="B2435:B2438"/>
    <mergeCell ref="A2403:A2406"/>
    <mergeCell ref="B2403:B2406"/>
    <mergeCell ref="A2407:A2414"/>
    <mergeCell ref="B2407:B2414"/>
    <mergeCell ref="A2415:A2422"/>
    <mergeCell ref="B2415:B2422"/>
    <mergeCell ref="A2391:A2394"/>
    <mergeCell ref="B2391:B2394"/>
    <mergeCell ref="A2395:A2398"/>
    <mergeCell ref="B2395:B2398"/>
    <mergeCell ref="A2399:A2402"/>
    <mergeCell ref="B2399:B2402"/>
    <mergeCell ref="A2379:A2382"/>
    <mergeCell ref="B2379:B2382"/>
    <mergeCell ref="A2383:A2386"/>
    <mergeCell ref="B2383:B2386"/>
    <mergeCell ref="A2387:A2390"/>
    <mergeCell ref="B2387:B2390"/>
    <mergeCell ref="A2360:A2365"/>
    <mergeCell ref="B2360:B2365"/>
    <mergeCell ref="A2366:A2372"/>
    <mergeCell ref="B2366:B2372"/>
    <mergeCell ref="A2373:A2378"/>
    <mergeCell ref="B2373:B2378"/>
    <mergeCell ref="A2339:A2344"/>
    <mergeCell ref="B2339:B2344"/>
    <mergeCell ref="A2345:A2352"/>
    <mergeCell ref="B2345:B2352"/>
    <mergeCell ref="A2353:A2359"/>
    <mergeCell ref="B2353:B2359"/>
    <mergeCell ref="A2324:A2328"/>
    <mergeCell ref="B2324:B2328"/>
    <mergeCell ref="A2329:A2333"/>
    <mergeCell ref="B2329:B2333"/>
    <mergeCell ref="A2334:A2338"/>
    <mergeCell ref="B2334:B2338"/>
    <mergeCell ref="A2306:A2311"/>
    <mergeCell ref="B2306:B2311"/>
    <mergeCell ref="A2312:A2317"/>
    <mergeCell ref="B2312:B2317"/>
    <mergeCell ref="A2318:A2323"/>
    <mergeCell ref="B2318:B2323"/>
    <mergeCell ref="A2284:A2292"/>
    <mergeCell ref="B2284:B2292"/>
    <mergeCell ref="A2293:A2299"/>
    <mergeCell ref="B2293:B2299"/>
    <mergeCell ref="A2300:A2305"/>
    <mergeCell ref="B2300:B2305"/>
    <mergeCell ref="A2260:A2267"/>
    <mergeCell ref="B2260:B2267"/>
    <mergeCell ref="A2268:A2275"/>
    <mergeCell ref="B2268:B2275"/>
    <mergeCell ref="A2276:A2283"/>
    <mergeCell ref="B2276:B2283"/>
    <mergeCell ref="A2238:A2243"/>
    <mergeCell ref="B2238:B2243"/>
    <mergeCell ref="A2244:A2251"/>
    <mergeCell ref="B2244:B2251"/>
    <mergeCell ref="A2252:A2259"/>
    <mergeCell ref="B2252:B2259"/>
    <mergeCell ref="A2216:A2221"/>
    <mergeCell ref="B2216:B2221"/>
    <mergeCell ref="A2222:A2227"/>
    <mergeCell ref="B2222:B2227"/>
    <mergeCell ref="A2228:A2237"/>
    <mergeCell ref="B2228:B2237"/>
    <mergeCell ref="A2198:A2202"/>
    <mergeCell ref="B2198:B2202"/>
    <mergeCell ref="A2203:A2209"/>
    <mergeCell ref="B2203:B2209"/>
    <mergeCell ref="A2210:A2215"/>
    <mergeCell ref="B2210:B2215"/>
    <mergeCell ref="A2174:A2181"/>
    <mergeCell ref="B2174:B2181"/>
    <mergeCell ref="A2182:A2189"/>
    <mergeCell ref="B2182:B2189"/>
    <mergeCell ref="A2190:A2197"/>
    <mergeCell ref="B2190:B2197"/>
    <mergeCell ref="A2150:A2157"/>
    <mergeCell ref="B2150:B2157"/>
    <mergeCell ref="A2158:A2165"/>
    <mergeCell ref="B2158:B2165"/>
    <mergeCell ref="A2166:A2173"/>
    <mergeCell ref="B2166:B2173"/>
    <mergeCell ref="A2128:A2133"/>
    <mergeCell ref="B2128:B2133"/>
    <mergeCell ref="A2134:A2141"/>
    <mergeCell ref="B2134:B2141"/>
    <mergeCell ref="A2142:A2149"/>
    <mergeCell ref="B2142:B2149"/>
    <mergeCell ref="A2110:A2115"/>
    <mergeCell ref="B2110:B2115"/>
    <mergeCell ref="A2116:A2121"/>
    <mergeCell ref="B2116:B2121"/>
    <mergeCell ref="A2122:A2127"/>
    <mergeCell ref="B2122:B2127"/>
    <mergeCell ref="A2088:A2095"/>
    <mergeCell ref="B2088:B2095"/>
    <mergeCell ref="A2096:A2103"/>
    <mergeCell ref="B2096:B2103"/>
    <mergeCell ref="A2104:A2109"/>
    <mergeCell ref="B2104:B2109"/>
    <mergeCell ref="A2064:A2071"/>
    <mergeCell ref="B2064:B2071"/>
    <mergeCell ref="A2072:A2079"/>
    <mergeCell ref="B2072:B2079"/>
    <mergeCell ref="A2080:A2087"/>
    <mergeCell ref="B2080:B2087"/>
    <mergeCell ref="A2040:A2047"/>
    <mergeCell ref="B2040:B2047"/>
    <mergeCell ref="A2048:A2055"/>
    <mergeCell ref="B2048:B2055"/>
    <mergeCell ref="A2056:A2063"/>
    <mergeCell ref="B2056:B2063"/>
    <mergeCell ref="A2016:A2023"/>
    <mergeCell ref="B2016:B2023"/>
    <mergeCell ref="A2024:A2031"/>
    <mergeCell ref="B2024:B2031"/>
    <mergeCell ref="A2032:A2039"/>
    <mergeCell ref="B2032:B2039"/>
    <mergeCell ref="A1996:A2002"/>
    <mergeCell ref="B1996:B2002"/>
    <mergeCell ref="A2003:A2009"/>
    <mergeCell ref="B2003:B2009"/>
    <mergeCell ref="A2010:A2015"/>
    <mergeCell ref="B2010:B2015"/>
    <mergeCell ref="A1974:A1981"/>
    <mergeCell ref="B1974:B1981"/>
    <mergeCell ref="A1982:A1988"/>
    <mergeCell ref="B1982:B1988"/>
    <mergeCell ref="A1989:A1995"/>
    <mergeCell ref="B1989:B1995"/>
    <mergeCell ref="A1952:A1958"/>
    <mergeCell ref="B1952:B1958"/>
    <mergeCell ref="A1959:A1965"/>
    <mergeCell ref="B1959:B1965"/>
    <mergeCell ref="A1966:A1973"/>
    <mergeCell ref="B1966:B1973"/>
    <mergeCell ref="A1935:A1939"/>
    <mergeCell ref="B1935:B1939"/>
    <mergeCell ref="A1940:A1945"/>
    <mergeCell ref="B1940:B1945"/>
    <mergeCell ref="A1946:A1951"/>
    <mergeCell ref="B1946:B1951"/>
    <mergeCell ref="A1919:A1924"/>
    <mergeCell ref="B1919:B1924"/>
    <mergeCell ref="A1925:A1929"/>
    <mergeCell ref="B1925:B1929"/>
    <mergeCell ref="A1930:A1934"/>
    <mergeCell ref="B1930:B1934"/>
    <mergeCell ref="A1904:A1908"/>
    <mergeCell ref="B1904:B1908"/>
    <mergeCell ref="A1909:A1913"/>
    <mergeCell ref="B1909:B1913"/>
    <mergeCell ref="A1914:A1918"/>
    <mergeCell ref="B1914:B1918"/>
    <mergeCell ref="A1886:A1891"/>
    <mergeCell ref="B1886:B1891"/>
    <mergeCell ref="A1892:A1897"/>
    <mergeCell ref="B1892:B1897"/>
    <mergeCell ref="A1898:A1903"/>
    <mergeCell ref="B1898:B1903"/>
    <mergeCell ref="A1868:A1873"/>
    <mergeCell ref="B1868:B1873"/>
    <mergeCell ref="A1874:A1879"/>
    <mergeCell ref="B1874:B1879"/>
    <mergeCell ref="A1880:A1885"/>
    <mergeCell ref="B1880:B1885"/>
    <mergeCell ref="A1850:A1855"/>
    <mergeCell ref="B1850:B1855"/>
    <mergeCell ref="A1856:A1861"/>
    <mergeCell ref="B1856:B1861"/>
    <mergeCell ref="A1862:A1867"/>
    <mergeCell ref="B1862:B1867"/>
    <mergeCell ref="A1832:A1837"/>
    <mergeCell ref="B1832:B1837"/>
    <mergeCell ref="A1838:A1843"/>
    <mergeCell ref="B1838:B1843"/>
    <mergeCell ref="A1844:A1849"/>
    <mergeCell ref="B1844:B1849"/>
    <mergeCell ref="A1813:A1818"/>
    <mergeCell ref="B1813:B1818"/>
    <mergeCell ref="A1819:A1824"/>
    <mergeCell ref="B1819:B1824"/>
    <mergeCell ref="A1825:A1831"/>
    <mergeCell ref="B1825:B1831"/>
    <mergeCell ref="A1797:A1802"/>
    <mergeCell ref="B1797:B1802"/>
    <mergeCell ref="A1803:A1807"/>
    <mergeCell ref="B1803:B1807"/>
    <mergeCell ref="A1808:A1812"/>
    <mergeCell ref="B1808:B1812"/>
    <mergeCell ref="A1776:A1782"/>
    <mergeCell ref="B1776:B1782"/>
    <mergeCell ref="A1783:A1789"/>
    <mergeCell ref="B1783:B1789"/>
    <mergeCell ref="A1790:A1796"/>
    <mergeCell ref="B1790:B1796"/>
    <mergeCell ref="A1755:A1761"/>
    <mergeCell ref="B1755:B1761"/>
    <mergeCell ref="A1762:A1768"/>
    <mergeCell ref="B1762:B1768"/>
    <mergeCell ref="A1769:A1775"/>
    <mergeCell ref="B1769:B1775"/>
    <mergeCell ref="A1726:A1736"/>
    <mergeCell ref="B1726:B1736"/>
    <mergeCell ref="A1737:A1747"/>
    <mergeCell ref="B1737:B1747"/>
    <mergeCell ref="A1748:A1754"/>
    <mergeCell ref="B1748:B1754"/>
    <mergeCell ref="A1696:A1703"/>
    <mergeCell ref="B1696:B1703"/>
    <mergeCell ref="A1704:A1714"/>
    <mergeCell ref="B1704:B1714"/>
    <mergeCell ref="A1715:A1725"/>
    <mergeCell ref="B1715:B1725"/>
    <mergeCell ref="A1676:A1682"/>
    <mergeCell ref="B1676:B1682"/>
    <mergeCell ref="A1683:A1689"/>
    <mergeCell ref="B1683:B1689"/>
    <mergeCell ref="A1690:A1695"/>
    <mergeCell ref="B1690:B1695"/>
    <mergeCell ref="A1660:A1664"/>
    <mergeCell ref="B1660:B1664"/>
    <mergeCell ref="A1665:A1669"/>
    <mergeCell ref="B1665:B1669"/>
    <mergeCell ref="A1670:A1675"/>
    <mergeCell ref="B1670:B1675"/>
    <mergeCell ref="A1643:A1648"/>
    <mergeCell ref="B1643:B1648"/>
    <mergeCell ref="A1649:A1654"/>
    <mergeCell ref="B1649:B1654"/>
    <mergeCell ref="A1655:A1659"/>
    <mergeCell ref="B1655:B1659"/>
    <mergeCell ref="A1626:A1630"/>
    <mergeCell ref="B1626:B1630"/>
    <mergeCell ref="A1631:A1636"/>
    <mergeCell ref="B1631:B1636"/>
    <mergeCell ref="A1637:A1642"/>
    <mergeCell ref="B1637:B1642"/>
    <mergeCell ref="A1609:A1613"/>
    <mergeCell ref="B1609:B1613"/>
    <mergeCell ref="A1614:A1619"/>
    <mergeCell ref="B1614:B1619"/>
    <mergeCell ref="A1620:A1625"/>
    <mergeCell ref="B1620:B1625"/>
    <mergeCell ref="A1590:A1595"/>
    <mergeCell ref="B1590:B1595"/>
    <mergeCell ref="A1596:A1601"/>
    <mergeCell ref="B1596:B1601"/>
    <mergeCell ref="A1602:A1608"/>
    <mergeCell ref="B1602:B1608"/>
    <mergeCell ref="A1562:A1568"/>
    <mergeCell ref="B1562:B1568"/>
    <mergeCell ref="A1569:A1583"/>
    <mergeCell ref="B1569:B1583"/>
    <mergeCell ref="A1584:A1589"/>
    <mergeCell ref="B1584:B1589"/>
    <mergeCell ref="A1541:A1547"/>
    <mergeCell ref="B1541:B1547"/>
    <mergeCell ref="A1548:A1554"/>
    <mergeCell ref="B1548:B1554"/>
    <mergeCell ref="A1555:A1561"/>
    <mergeCell ref="B1555:B1561"/>
    <mergeCell ref="A1517:A1524"/>
    <mergeCell ref="B1517:B1524"/>
    <mergeCell ref="A1525:A1532"/>
    <mergeCell ref="B1525:B1532"/>
    <mergeCell ref="A1533:A1540"/>
    <mergeCell ref="B1533:B1540"/>
    <mergeCell ref="A1486:A1500"/>
    <mergeCell ref="B1486:B1500"/>
    <mergeCell ref="A1501:A1508"/>
    <mergeCell ref="B1501:B1508"/>
    <mergeCell ref="A1509:A1516"/>
    <mergeCell ref="B1509:B1516"/>
    <mergeCell ref="A1441:A1455"/>
    <mergeCell ref="B1441:B1455"/>
    <mergeCell ref="A1456:A1470"/>
    <mergeCell ref="B1456:B1470"/>
    <mergeCell ref="A1471:A1485"/>
    <mergeCell ref="B1471:B1485"/>
    <mergeCell ref="A1396:A1410"/>
    <mergeCell ref="B1396:B1410"/>
    <mergeCell ref="A1411:A1425"/>
    <mergeCell ref="B1411:B1425"/>
    <mergeCell ref="A1426:A1440"/>
    <mergeCell ref="B1426:B1440"/>
    <mergeCell ref="A1377:A1382"/>
    <mergeCell ref="B1377:B1382"/>
    <mergeCell ref="A1383:A1388"/>
    <mergeCell ref="B1383:B1388"/>
    <mergeCell ref="A1389:A1395"/>
    <mergeCell ref="B1389:B1395"/>
    <mergeCell ref="A1359:A1364"/>
    <mergeCell ref="B1359:B1364"/>
    <mergeCell ref="A1365:A1370"/>
    <mergeCell ref="B1365:B1370"/>
    <mergeCell ref="A1371:A1376"/>
    <mergeCell ref="B1371:B1376"/>
    <mergeCell ref="A1340:A1345"/>
    <mergeCell ref="B1340:B1345"/>
    <mergeCell ref="A1346:A1352"/>
    <mergeCell ref="B1346:B1352"/>
    <mergeCell ref="A1353:A1358"/>
    <mergeCell ref="B1353:B1358"/>
    <mergeCell ref="A1323:A1327"/>
    <mergeCell ref="B1323:B1327"/>
    <mergeCell ref="A1328:A1332"/>
    <mergeCell ref="B1328:B1332"/>
    <mergeCell ref="A1333:A1339"/>
    <mergeCell ref="B1333:B1339"/>
    <mergeCell ref="A1304:A1312"/>
    <mergeCell ref="B1304:B1312"/>
    <mergeCell ref="A1313:A1317"/>
    <mergeCell ref="B1313:B1317"/>
    <mergeCell ref="A1318:A1322"/>
    <mergeCell ref="B1318:B1322"/>
    <mergeCell ref="A1282:A1288"/>
    <mergeCell ref="B1282:B1288"/>
    <mergeCell ref="A1289:A1295"/>
    <mergeCell ref="B1289:B1295"/>
    <mergeCell ref="A1296:A1303"/>
    <mergeCell ref="B1296:B1303"/>
    <mergeCell ref="A1262:A1267"/>
    <mergeCell ref="B1262:B1267"/>
    <mergeCell ref="A1268:A1274"/>
    <mergeCell ref="B1268:B1274"/>
    <mergeCell ref="A1275:A1281"/>
    <mergeCell ref="B1275:B1281"/>
    <mergeCell ref="A1241:A1247"/>
    <mergeCell ref="B1241:B1247"/>
    <mergeCell ref="A1248:A1254"/>
    <mergeCell ref="B1248:B1254"/>
    <mergeCell ref="A1255:A1261"/>
    <mergeCell ref="B1255:B1261"/>
    <mergeCell ref="A1220:A1226"/>
    <mergeCell ref="B1220:B1226"/>
    <mergeCell ref="A1227:A1233"/>
    <mergeCell ref="B1227:B1233"/>
    <mergeCell ref="A1234:A1240"/>
    <mergeCell ref="B1234:B1240"/>
    <mergeCell ref="A1199:A1205"/>
    <mergeCell ref="B1199:B1205"/>
    <mergeCell ref="A1206:A1212"/>
    <mergeCell ref="B1206:B1212"/>
    <mergeCell ref="A1213:A1219"/>
    <mergeCell ref="B1213:B1219"/>
    <mergeCell ref="A1178:A1184"/>
    <mergeCell ref="B1178:B1184"/>
    <mergeCell ref="A1185:A1191"/>
    <mergeCell ref="B1185:B1191"/>
    <mergeCell ref="A1192:A1198"/>
    <mergeCell ref="B1192:B1198"/>
    <mergeCell ref="A1157:A1163"/>
    <mergeCell ref="B1157:B1163"/>
    <mergeCell ref="A1164:A1170"/>
    <mergeCell ref="B1164:B1170"/>
    <mergeCell ref="A1171:A1177"/>
    <mergeCell ref="B1171:B1177"/>
    <mergeCell ref="A1136:A1142"/>
    <mergeCell ref="B1136:B1142"/>
    <mergeCell ref="A1143:A1149"/>
    <mergeCell ref="B1143:B1149"/>
    <mergeCell ref="A1150:A1156"/>
    <mergeCell ref="B1150:B1156"/>
    <mergeCell ref="A1118:A1123"/>
    <mergeCell ref="B1118:B1123"/>
    <mergeCell ref="A1124:A1128"/>
    <mergeCell ref="B1124:B1128"/>
    <mergeCell ref="A1129:A1135"/>
    <mergeCell ref="B1129:B1135"/>
    <mergeCell ref="A1100:A1107"/>
    <mergeCell ref="B1100:B1107"/>
    <mergeCell ref="A1108:A1112"/>
    <mergeCell ref="B1108:B1112"/>
    <mergeCell ref="A1113:A1117"/>
    <mergeCell ref="B1113:B1117"/>
    <mergeCell ref="A1074:A1081"/>
    <mergeCell ref="B1074:B1081"/>
    <mergeCell ref="A1082:A1089"/>
    <mergeCell ref="B1082:B1089"/>
    <mergeCell ref="A1090:A1099"/>
    <mergeCell ref="B1090:B1099"/>
    <mergeCell ref="A1051:A1057"/>
    <mergeCell ref="B1051:B1057"/>
    <mergeCell ref="A1058:A1064"/>
    <mergeCell ref="B1058:B1064"/>
    <mergeCell ref="A1065:A1073"/>
    <mergeCell ref="B1065:B1073"/>
    <mergeCell ref="A1028:A1036"/>
    <mergeCell ref="B1028:B1036"/>
    <mergeCell ref="A1037:A1043"/>
    <mergeCell ref="B1037:B1043"/>
    <mergeCell ref="A1044:A1050"/>
    <mergeCell ref="B1044:B1050"/>
    <mergeCell ref="A1004:A1012"/>
    <mergeCell ref="B1004:B1012"/>
    <mergeCell ref="A1013:A1017"/>
    <mergeCell ref="B1013:B1017"/>
    <mergeCell ref="A1018:A1027"/>
    <mergeCell ref="B1018:B1027"/>
    <mergeCell ref="A983:A993"/>
    <mergeCell ref="B983:B993"/>
    <mergeCell ref="A994:A998"/>
    <mergeCell ref="B994:B998"/>
    <mergeCell ref="A999:A1003"/>
    <mergeCell ref="B999:B1003"/>
    <mergeCell ref="A958:A964"/>
    <mergeCell ref="B958:B964"/>
    <mergeCell ref="A965:A971"/>
    <mergeCell ref="B965:B971"/>
    <mergeCell ref="A972:A982"/>
    <mergeCell ref="B972:B982"/>
    <mergeCell ref="A939:A944"/>
    <mergeCell ref="B939:B944"/>
    <mergeCell ref="A945:A950"/>
    <mergeCell ref="B945:B950"/>
    <mergeCell ref="A951:A957"/>
    <mergeCell ref="B951:B957"/>
    <mergeCell ref="A914:A920"/>
    <mergeCell ref="B914:B920"/>
    <mergeCell ref="A921:A929"/>
    <mergeCell ref="B921:B929"/>
    <mergeCell ref="A930:A938"/>
    <mergeCell ref="B930:B938"/>
    <mergeCell ref="A895:A898"/>
    <mergeCell ref="B895:B898"/>
    <mergeCell ref="A899:A904"/>
    <mergeCell ref="B899:B904"/>
    <mergeCell ref="A905:A913"/>
    <mergeCell ref="B905:B913"/>
    <mergeCell ref="A876:A882"/>
    <mergeCell ref="B876:B882"/>
    <mergeCell ref="A883:A887"/>
    <mergeCell ref="B883:B887"/>
    <mergeCell ref="A888:A894"/>
    <mergeCell ref="B888:B894"/>
    <mergeCell ref="A855:A860"/>
    <mergeCell ref="B855:B860"/>
    <mergeCell ref="A861:A868"/>
    <mergeCell ref="B861:B868"/>
    <mergeCell ref="A869:A875"/>
    <mergeCell ref="B869:B875"/>
    <mergeCell ref="A837:A841"/>
    <mergeCell ref="B837:B841"/>
    <mergeCell ref="A842:A847"/>
    <mergeCell ref="B842:B847"/>
    <mergeCell ref="A848:A854"/>
    <mergeCell ref="B848:B854"/>
    <mergeCell ref="A819:A823"/>
    <mergeCell ref="B819:B823"/>
    <mergeCell ref="A824:A830"/>
    <mergeCell ref="B824:B830"/>
    <mergeCell ref="A831:A836"/>
    <mergeCell ref="B831:B836"/>
    <mergeCell ref="A806:A809"/>
    <mergeCell ref="B806:B809"/>
    <mergeCell ref="A810:A814"/>
    <mergeCell ref="B810:B814"/>
    <mergeCell ref="A815:A818"/>
    <mergeCell ref="B815:B818"/>
    <mergeCell ref="A775:A781"/>
    <mergeCell ref="B775:B781"/>
    <mergeCell ref="A782:A795"/>
    <mergeCell ref="B782:B795"/>
    <mergeCell ref="A796:A805"/>
    <mergeCell ref="B796:B805"/>
    <mergeCell ref="A747:A757"/>
    <mergeCell ref="B747:B757"/>
    <mergeCell ref="A758:A763"/>
    <mergeCell ref="B758:B763"/>
    <mergeCell ref="A764:A774"/>
    <mergeCell ref="B764:B774"/>
    <mergeCell ref="A728:A735"/>
    <mergeCell ref="B728:B735"/>
    <mergeCell ref="A736:A739"/>
    <mergeCell ref="B736:B739"/>
    <mergeCell ref="A740:A746"/>
    <mergeCell ref="B740:B746"/>
    <mergeCell ref="A708:A714"/>
    <mergeCell ref="B708:B714"/>
    <mergeCell ref="A715:A721"/>
    <mergeCell ref="B715:B721"/>
    <mergeCell ref="A722:A727"/>
    <mergeCell ref="B722:B727"/>
    <mergeCell ref="A684:A691"/>
    <mergeCell ref="B684:B691"/>
    <mergeCell ref="A692:A699"/>
    <mergeCell ref="B692:B699"/>
    <mergeCell ref="A700:A707"/>
    <mergeCell ref="B700:B707"/>
    <mergeCell ref="A664:A667"/>
    <mergeCell ref="B664:B667"/>
    <mergeCell ref="A668:A675"/>
    <mergeCell ref="B668:B675"/>
    <mergeCell ref="A676:A683"/>
    <mergeCell ref="B676:B683"/>
    <mergeCell ref="A652:A655"/>
    <mergeCell ref="B652:B655"/>
    <mergeCell ref="A656:A659"/>
    <mergeCell ref="B656:B659"/>
    <mergeCell ref="A660:A663"/>
    <mergeCell ref="B660:B663"/>
    <mergeCell ref="A637:A643"/>
    <mergeCell ref="B637:B643"/>
    <mergeCell ref="A644:A647"/>
    <mergeCell ref="B644:B647"/>
    <mergeCell ref="A648:A651"/>
    <mergeCell ref="B648:B651"/>
    <mergeCell ref="A615:A620"/>
    <mergeCell ref="B615:B620"/>
    <mergeCell ref="A621:A628"/>
    <mergeCell ref="B621:B628"/>
    <mergeCell ref="A629:A636"/>
    <mergeCell ref="B629:B636"/>
    <mergeCell ref="A588:A595"/>
    <mergeCell ref="B588:B595"/>
    <mergeCell ref="A596:A605"/>
    <mergeCell ref="B596:B605"/>
    <mergeCell ref="A606:A614"/>
    <mergeCell ref="B606:B614"/>
    <mergeCell ref="A561:A568"/>
    <mergeCell ref="B561:B568"/>
    <mergeCell ref="A569:A578"/>
    <mergeCell ref="B569:B578"/>
    <mergeCell ref="A579:A587"/>
    <mergeCell ref="B579:B587"/>
    <mergeCell ref="A537:A544"/>
    <mergeCell ref="B537:B544"/>
    <mergeCell ref="A545:A552"/>
    <mergeCell ref="B545:B552"/>
    <mergeCell ref="A553:A560"/>
    <mergeCell ref="B553:B560"/>
    <mergeCell ref="A517:A523"/>
    <mergeCell ref="B517:B523"/>
    <mergeCell ref="A524:A530"/>
    <mergeCell ref="B524:B530"/>
    <mergeCell ref="A531:A536"/>
    <mergeCell ref="B531:B536"/>
    <mergeCell ref="A497:A503"/>
    <mergeCell ref="B497:B503"/>
    <mergeCell ref="A504:A510"/>
    <mergeCell ref="B504:B510"/>
    <mergeCell ref="A511:A516"/>
    <mergeCell ref="B511:B516"/>
    <mergeCell ref="A471:A482"/>
    <mergeCell ref="B471:B482"/>
    <mergeCell ref="A483:A488"/>
    <mergeCell ref="B483:B488"/>
    <mergeCell ref="A489:A496"/>
    <mergeCell ref="B489:B496"/>
    <mergeCell ref="A268:A275"/>
    <mergeCell ref="B268:B275"/>
    <mergeCell ref="A276:A282"/>
    <mergeCell ref="B276:B282"/>
    <mergeCell ref="A283:A289"/>
    <mergeCell ref="B283:B289"/>
    <mergeCell ref="A239:A246"/>
    <mergeCell ref="B239:B246"/>
    <mergeCell ref="A247:A261"/>
    <mergeCell ref="B247:B261"/>
    <mergeCell ref="A262:A267"/>
    <mergeCell ref="B262:B267"/>
    <mergeCell ref="A446:A453"/>
    <mergeCell ref="B446:B453"/>
    <mergeCell ref="A454:A463"/>
    <mergeCell ref="B454:B463"/>
    <mergeCell ref="A464:A470"/>
    <mergeCell ref="B464:B470"/>
    <mergeCell ref="A422:A433"/>
    <mergeCell ref="B422:B433"/>
    <mergeCell ref="A434:A439"/>
    <mergeCell ref="B434:B439"/>
    <mergeCell ref="A440:A445"/>
    <mergeCell ref="B440:B445"/>
    <mergeCell ref="A394:A400"/>
    <mergeCell ref="B394:B400"/>
    <mergeCell ref="A401:A414"/>
    <mergeCell ref="B401:B414"/>
    <mergeCell ref="A415:A421"/>
    <mergeCell ref="B415:B421"/>
    <mergeCell ref="A365:A370"/>
    <mergeCell ref="B365:B370"/>
    <mergeCell ref="A371:A379"/>
    <mergeCell ref="B371:B379"/>
    <mergeCell ref="A380:A393"/>
    <mergeCell ref="B380:B393"/>
    <mergeCell ref="A326:A340"/>
    <mergeCell ref="B326:B340"/>
    <mergeCell ref="A341:A350"/>
    <mergeCell ref="B341:B350"/>
    <mergeCell ref="A351:A364"/>
    <mergeCell ref="B351:B364"/>
    <mergeCell ref="A290:A304"/>
    <mergeCell ref="B290:B304"/>
    <mergeCell ref="A305:A319"/>
    <mergeCell ref="B305:B319"/>
    <mergeCell ref="A320:A325"/>
    <mergeCell ref="B320:B325"/>
    <mergeCell ref="A227:A230"/>
    <mergeCell ref="B227:B230"/>
    <mergeCell ref="A231:A234"/>
    <mergeCell ref="B231:B234"/>
    <mergeCell ref="A235:A238"/>
    <mergeCell ref="B235:B238"/>
    <mergeCell ref="A182:A188"/>
    <mergeCell ref="B182:B188"/>
    <mergeCell ref="A189:A195"/>
    <mergeCell ref="B189:B195"/>
    <mergeCell ref="A196:A199"/>
    <mergeCell ref="B196:B199"/>
    <mergeCell ref="A213:A217"/>
    <mergeCell ref="B213:B217"/>
    <mergeCell ref="A218:A222"/>
    <mergeCell ref="B218:B222"/>
    <mergeCell ref="A223:A226"/>
    <mergeCell ref="B223:B226"/>
    <mergeCell ref="A200:A203"/>
    <mergeCell ref="B200:B203"/>
    <mergeCell ref="A204:A208"/>
    <mergeCell ref="B204:B208"/>
    <mergeCell ref="A209:A212"/>
    <mergeCell ref="B209:B212"/>
    <mergeCell ref="A138:A142"/>
    <mergeCell ref="B138:B142"/>
    <mergeCell ref="A143:A147"/>
    <mergeCell ref="B143:B147"/>
    <mergeCell ref="A148:A152"/>
    <mergeCell ref="B148:B152"/>
    <mergeCell ref="A170:A173"/>
    <mergeCell ref="B170:B173"/>
    <mergeCell ref="A174:A177"/>
    <mergeCell ref="B174:B177"/>
    <mergeCell ref="A178:A181"/>
    <mergeCell ref="B178:B181"/>
    <mergeCell ref="A153:A159"/>
    <mergeCell ref="B153:B159"/>
    <mergeCell ref="A160:A164"/>
    <mergeCell ref="B160:B164"/>
    <mergeCell ref="A165:A169"/>
    <mergeCell ref="B165:B169"/>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A82:A86"/>
    <mergeCell ref="B82:B86"/>
    <mergeCell ref="A64:A68"/>
    <mergeCell ref="B64:B68"/>
    <mergeCell ref="A69:A76"/>
    <mergeCell ref="B37:B41"/>
    <mergeCell ref="A42:A46"/>
    <mergeCell ref="B42:B46"/>
    <mergeCell ref="A18:A22"/>
    <mergeCell ref="B18:B22"/>
    <mergeCell ref="A23:A27"/>
    <mergeCell ref="B23:B27"/>
    <mergeCell ref="A28:A32"/>
    <mergeCell ref="B28:B32"/>
    <mergeCell ref="B134:B137"/>
    <mergeCell ref="A111:A115"/>
    <mergeCell ref="B111:B115"/>
    <mergeCell ref="A116:A119"/>
    <mergeCell ref="B116:B119"/>
    <mergeCell ref="A120:A124"/>
    <mergeCell ref="B120:B124"/>
    <mergeCell ref="A97:A101"/>
    <mergeCell ref="B97:B101"/>
    <mergeCell ref="A102:A105"/>
    <mergeCell ref="B102:B105"/>
    <mergeCell ref="A106:A110"/>
    <mergeCell ref="B106:B110"/>
    <mergeCell ref="B69:B76"/>
    <mergeCell ref="A77:A81"/>
    <mergeCell ref="B77:B81"/>
    <mergeCell ref="A87:A91"/>
    <mergeCell ref="B87:B91"/>
    <mergeCell ref="A92:A96"/>
    <mergeCell ref="B92:B96"/>
    <mergeCell ref="A125:A129"/>
    <mergeCell ref="B125:B129"/>
    <mergeCell ref="A130:A133"/>
    <mergeCell ref="B130:B133"/>
    <mergeCell ref="A134:A137"/>
  </mergeCells>
  <conditionalFormatting sqref="D3148 D261 D2382">
    <cfRule type="containsText" dxfId="1557" priority="1500" operator="containsText" text="Pesquisa de Preços">
      <formula>NOT(ISERROR(SEARCH("Pesquisa de Preços",D261)))</formula>
    </cfRule>
  </conditionalFormatting>
  <conditionalFormatting sqref="D9">
    <cfRule type="containsText" dxfId="1556" priority="1499" operator="containsText" text="Pesquisa de Preços">
      <formula>NOT(ISERROR(SEARCH("Pesquisa de Preços",D9)))</formula>
    </cfRule>
  </conditionalFormatting>
  <conditionalFormatting sqref="D7">
    <cfRule type="containsText" dxfId="1555" priority="1498" operator="containsText" text="Pesquisa de Preços">
      <formula>NOT(ISERROR(SEARCH("Pesquisa de Preços",D7)))</formula>
    </cfRule>
  </conditionalFormatting>
  <conditionalFormatting sqref="D6 D10 D14 D18 D23 D28 D33 D37 D42 D47 D52 D59 D64 D69 D77 D82 D87 D92 D97 D102 D106 D111 D116 D120 D125 D130 D134 D138 D143 D148 D153 D160 D165 D170 D174 D178 D182 D189 D196 D200 D204 D209 D213 D218 D223 D227 D231 D235 D239 D247 D262 D268 D276 D283 D290 D305 D320 D326 D341 D351 D365 D371 D380 D394 D401 D415 D422 D434 D440 D446 D454 D464 D471 D483 D489 D497 D504 D511 D517 D524 D531 D537 D545 D553 D561 D569 D579 D588 D596 D606 D615 D621 D629 D637 D644 D648 D652 D656 D660 D664 D668 D676 D684 D692 D700 D708 D715 D722 D728 D736 D740 D747 D758 D764 D775 D782 D796 D806 D810 D815 D819 D824 D831 D837 D842 D848 D855 D861 D869 D876 D883 D888 D895 D899 D905 D914 D921 D930 D939 D945 D951 D958 D965 D972 D983 D994 D999 D1004 D1013 D1018 D1028 D1037 D1044 D1051 D1058 D1065 D1074 D1082 D1090 D1100 D1108 D1113 D1118 D1124 D1129 D1136 D1143 D1150 D1157 D1164 D1171 D1178 D1185 D1192 D1199 D1206 D1213 D1220 D1227 D1234 D1241 D1248 D1255 D1262 D1268 D1275 D1282 D1289 D1296 D1304 D1313 D1318 D1323 D1328 D1333 D1340 D1346 D1353 D1359 D1365 D1371 D1377 D1383 D1389 D1396 D1411 D1426 D1441 D1456 D1471 D1486 D1501 D1509 D1517 D1525 D1533 D1541 D1548 D1555 D1562 D1569 D1584 D1590 D1596 D1602 D1609 D1614 D1620 D1626 D1631 D1637 D1643 D1649 D1655 D1660 D1665 D1670 D1676 D1683 D1690 D1696 D1704 D1715 D1726 D1737 D1748 D1755 D1762 D1769 D1776 D1783 D1790 D1797 D1803 D1808 D1813 D1819 D1825 D1832 D1838 D1844 D1850 D1856 D1862 D1868 D1874 D1880 D1886 D1892 D1898 D1904 D1909 D1914 D1919 D1925 D1930 D1935 D1940 D1946 D1952 D1959 D1966 D1974 D1982 D1989 D1996 D2003 D2010 D2016 D2024 D2032 D2040 D2048 D2056 D2064 D2072 D2080 D2088 D2096 D2104 D2110 D2116 D2122 D2128 D2134 D2142 D2150 D2158 D2166 D2174 D2182 D2190 D2198 D2203 D2210 D2216 D2222 D2228 D2238 D2244 D2252 D2260 D2268 D2276 D2284 D2293 D2300 D2306 D2312 D2318 D2324 D2329 D2334 D2339 D2345 D2353 D2360 D2366 D2373 D2379 D2383 D2387 D2391 D2395 D2399 D2403 D2407 D2415 D2423 D2431 D2435 D2439 D2443 D2447 D2451 D2455 D2459 D2463 D2467 D2471 D2475 D2479 D2485 D2491 D2497 D2503 D2509 D2515 D2521 D2527 D2533 D2539 D2545 D2552 D2569 D2576 D2581 D2586 D2591 D2598 D2603 D2608 D2613 D2618 D2623 D2628 D2633 D2638 D2649 D2654 D2659 D2664 D2672 D2680 D2688 D2696 D2704 D2709 D2714 D2719 D2724 D2729 D2734 D2739 D2744 D2749 D2754 D2761 D2766 D2771 D2776 D2781 D2786 D2791 D2796 D2801 D2806 D2814 D2819 D2827 D2831 D2838 D2843 D2851 D2856 D2861 D2866 D2871 D2876 D2881 D2886 D2891 D2896 D2902 D2909 D2916 D2922 D2928 D2935 D2940 D2946 D2954 D2962 D2967 D2971 D2978 D2991 D2997 D3003 D3009 D3019 D3024 D3031 D3038 D3045 D3052 D3059 D3066 D3073 D3080 D3087 D3094 D3100 D3106 D3115 D3120 D3127 D3134 D3141 D3145 D3149 D3154 D3158 D3163 D3169 D3176 D3183 D3188 D3193 D3198 D3202 D3206 D3216 D3227 D3235 D3252 D3260 D3277 D3289 D3296 D3312 D3318 D3324 D3332 D3339 D3344 D3352 D3358 D3365 D3371 D3380 D3385 D3390 D3398 D3402 D3406 D3421 D3429 D3441 D3454 D3465 D3469 D3479 D3484 D3493 D3502 D3506 D3510 D3514 D3520 D3525 D3536 D3544 D3553 D3561 D3573 D3588 D3595 D3611 D3617 D3623 D3629 D3636 D3645 D3652 D3660 D3667 D3675 D3688 D3701 D3706 D3710 D3714 D3723 D3732 D3741 D3750 D3759 D3768 D3774 D3780 D3787 D3793 D3797 D3804 D3812 D3820 D3828 D3836 D3843 D3851 D3863 D3867 D3874 D3881 D3887 D3893 D3899 D3909 D3915 D3923 D3929 D3936 D3944 D3949 D3959 D3968 D3984 D4011 D4018 D4028 D4037 D4046 D4055 D4064 D4074 D4082 D4090 D4100 D4110 D4120 D4128 D4144 D4153 D4159 D4177 D4183 D4191 D4197 D4202 D4207 D4213 D4221 D4227 D4233 D4245 D4257 D4276 D4284 D4293 D4301 D4307 D4319 D4327 D4333 D4341 D4349 D4359 D4365 D4373 D4382 D4394 D4400 D4408 D4419">
    <cfRule type="containsText" dxfId="1554" priority="1497" operator="containsText" text="Pesquisa de Preços">
      <formula>NOT(ISERROR(SEARCH("Pesquisa de Preços",D6)))</formula>
    </cfRule>
  </conditionalFormatting>
  <conditionalFormatting sqref="D8">
    <cfRule type="containsText" dxfId="1553" priority="1496" operator="containsText" text="Pesquisa de Preços">
      <formula>NOT(ISERROR(SEARCH("Pesquisa de Preços",D8)))</formula>
    </cfRule>
  </conditionalFormatting>
  <conditionalFormatting sqref="D15">
    <cfRule type="containsText" dxfId="1552" priority="1495" operator="containsText" text="Pesquisa de Preços">
      <formula>NOT(ISERROR(SEARCH("Pesquisa de Preços",D15)))</formula>
    </cfRule>
  </conditionalFormatting>
  <conditionalFormatting sqref="D16">
    <cfRule type="containsText" dxfId="1551" priority="1494" operator="containsText" text="Pesquisa de Preços">
      <formula>NOT(ISERROR(SEARCH("Pesquisa de Preços",D16)))</formula>
    </cfRule>
  </conditionalFormatting>
  <conditionalFormatting sqref="D12">
    <cfRule type="containsText" dxfId="1550" priority="1493" operator="containsText" text="Pesquisa de Preços">
      <formula>NOT(ISERROR(SEARCH("Pesquisa de Preços",D12)))</formula>
    </cfRule>
  </conditionalFormatting>
  <conditionalFormatting sqref="D94:D95">
    <cfRule type="containsText" dxfId="1549" priority="991" operator="containsText" text="Pesquisa de Preços">
      <formula>NOT(ISERROR(SEARCH("Pesquisa de Preços",D94)))</formula>
    </cfRule>
  </conditionalFormatting>
  <conditionalFormatting sqref="D13">
    <cfRule type="containsText" dxfId="1548" priority="1492" operator="containsText" text="Pesquisa de Preços">
      <formula>NOT(ISERROR(SEARCH("Pesquisa de Preços",D13)))</formula>
    </cfRule>
  </conditionalFormatting>
  <conditionalFormatting sqref="D11">
    <cfRule type="containsText" dxfId="1547" priority="1491" operator="containsText" text="Pesquisa de Preços">
      <formula>NOT(ISERROR(SEARCH("Pesquisa de Preços",D11)))</formula>
    </cfRule>
  </conditionalFormatting>
  <conditionalFormatting sqref="D224">
    <cfRule type="containsText" dxfId="1546" priority="1489" operator="containsText" text="Pesquisa de Preços">
      <formula>NOT(ISERROR(SEARCH("Pesquisa de Preços",D224)))</formula>
    </cfRule>
  </conditionalFormatting>
  <conditionalFormatting sqref="D226">
    <cfRule type="containsText" dxfId="1545" priority="1490" operator="containsText" text="Pesquisa de Preços">
      <formula>NOT(ISERROR(SEARCH("Pesquisa de Preços",D226)))</formula>
    </cfRule>
  </conditionalFormatting>
  <conditionalFormatting sqref="D1374">
    <cfRule type="containsText" dxfId="1544" priority="987" operator="containsText" text="Pesquisa de Preços">
      <formula>NOT(ISERROR(SEARCH("Pesquisa de Preços",D1374)))</formula>
    </cfRule>
  </conditionalFormatting>
  <conditionalFormatting sqref="D514">
    <cfRule type="containsText" dxfId="1543" priority="1395" operator="containsText" text="Pesquisa de Preços">
      <formula>NOT(ISERROR(SEARCH("Pesquisa de Preços",D514)))</formula>
    </cfRule>
  </conditionalFormatting>
  <conditionalFormatting sqref="D149">
    <cfRule type="containsText" dxfId="1542" priority="1485" operator="containsText" text="Pesquisa de Preços">
      <formula>NOT(ISERROR(SEARCH("Pesquisa de Preços",D149)))</formula>
    </cfRule>
  </conditionalFormatting>
  <conditionalFormatting sqref="D490:D491 D493:D496">
    <cfRule type="containsText" dxfId="1541" priority="1392" operator="containsText" text="Pesquisa de Preços">
      <formula>NOT(ISERROR(SEARCH("Pesquisa de Preços",D490)))</formula>
    </cfRule>
  </conditionalFormatting>
  <conditionalFormatting sqref="D78">
    <cfRule type="containsText" dxfId="1540" priority="1486" operator="containsText" text="Pesquisa de Preços">
      <formula>NOT(ISERROR(SEARCH("Pesquisa de Preços",D78)))</formula>
    </cfRule>
  </conditionalFormatting>
  <conditionalFormatting sqref="D161">
    <cfRule type="containsText" dxfId="1539" priority="1484" operator="containsText" text="Pesquisa de Preços">
      <formula>NOT(ISERROR(SEARCH("Pesquisa de Preços",D161)))</formula>
    </cfRule>
  </conditionalFormatting>
  <conditionalFormatting sqref="D79">
    <cfRule type="containsText" dxfId="1538" priority="1488" operator="containsText" text="Pesquisa de Preços">
      <formula>NOT(ISERROR(SEARCH("Pesquisa de Preços",D79)))</formula>
    </cfRule>
  </conditionalFormatting>
  <conditionalFormatting sqref="D81">
    <cfRule type="containsText" dxfId="1537" priority="1487" operator="containsText" text="Pesquisa de Preços">
      <formula>NOT(ISERROR(SEARCH("Pesquisa de Preços",D81)))</formula>
    </cfRule>
  </conditionalFormatting>
  <conditionalFormatting sqref="D88">
    <cfRule type="containsText" dxfId="1536" priority="1483" operator="containsText" text="Pesquisa de Preços">
      <formula>NOT(ISERROR(SEARCH("Pesquisa de Preços",D88)))</formula>
    </cfRule>
  </conditionalFormatting>
  <conditionalFormatting sqref="D60">
    <cfRule type="containsText" dxfId="1535" priority="1482" operator="containsText" text="Pesquisa de Preços">
      <formula>NOT(ISERROR(SEARCH("Pesquisa de Preços",D60)))</formula>
    </cfRule>
  </conditionalFormatting>
  <conditionalFormatting sqref="D53">
    <cfRule type="containsText" dxfId="1534" priority="1481" operator="containsText" text="Pesquisa de Preços">
      <formula>NOT(ISERROR(SEARCH("Pesquisa de Preços",D53)))</formula>
    </cfRule>
  </conditionalFormatting>
  <conditionalFormatting sqref="D34:D35">
    <cfRule type="containsText" dxfId="1533" priority="1480" operator="containsText" text="Pesquisa de Preços">
      <formula>NOT(ISERROR(SEARCH("Pesquisa de Preços",D34)))</formula>
    </cfRule>
  </conditionalFormatting>
  <conditionalFormatting sqref="D98:D99">
    <cfRule type="containsText" dxfId="1532" priority="1478" operator="containsText" text="Pesquisa de Preços">
      <formula>NOT(ISERROR(SEARCH("Pesquisa de Preços",D98)))</formula>
    </cfRule>
  </conditionalFormatting>
  <conditionalFormatting sqref="D29">
    <cfRule type="containsText" dxfId="1531" priority="1479" operator="containsText" text="Pesquisa de Preços">
      <formula>NOT(ISERROR(SEARCH("Pesquisa de Preços",D29)))</formula>
    </cfRule>
  </conditionalFormatting>
  <conditionalFormatting sqref="D144:D145">
    <cfRule type="containsText" dxfId="1530" priority="1476" operator="containsText" text="Pesquisa de Preços">
      <formula>NOT(ISERROR(SEARCH("Pesquisa de Preços",D144)))</formula>
    </cfRule>
  </conditionalFormatting>
  <conditionalFormatting sqref="D100">
    <cfRule type="containsText" dxfId="1529" priority="1477" operator="containsText" text="Pesquisa de Preços">
      <formula>NOT(ISERROR(SEARCH("Pesquisa de Preços",D100)))</formula>
    </cfRule>
  </conditionalFormatting>
  <conditionalFormatting sqref="D179">
    <cfRule type="containsText" dxfId="1528" priority="1471" operator="containsText" text="Pesquisa de Preços">
      <formula>NOT(ISERROR(SEARCH("Pesquisa de Preços",D179)))</formula>
    </cfRule>
  </conditionalFormatting>
  <conditionalFormatting sqref="D24">
    <cfRule type="containsText" dxfId="1527" priority="1473" operator="containsText" text="Pesquisa de Preços">
      <formula>NOT(ISERROR(SEARCH("Pesquisa de Preços",D24)))</formula>
    </cfRule>
  </conditionalFormatting>
  <conditionalFormatting sqref="D146">
    <cfRule type="containsText" dxfId="1526" priority="1475" operator="containsText" text="Pesquisa de Preços">
      <formula>NOT(ISERROR(SEARCH("Pesquisa de Preços",D146)))</formula>
    </cfRule>
  </conditionalFormatting>
  <conditionalFormatting sqref="D43:D45">
    <cfRule type="containsText" dxfId="1525" priority="1474" operator="containsText" text="Pesquisa de Preços">
      <formula>NOT(ISERROR(SEARCH("Pesquisa de Preços",D43)))</formula>
    </cfRule>
  </conditionalFormatting>
  <conditionalFormatting sqref="D117:D118">
    <cfRule type="containsText" dxfId="1524" priority="1470" operator="containsText" text="Pesquisa de Preços">
      <formula>NOT(ISERROR(SEARCH("Pesquisa de Preços",D117)))</formula>
    </cfRule>
  </conditionalFormatting>
  <conditionalFormatting sqref="D38:D40">
    <cfRule type="containsText" dxfId="1523" priority="1472" operator="containsText" text="Pesquisa de Preços">
      <formula>NOT(ISERROR(SEARCH("Pesquisa de Preços",D38)))</formula>
    </cfRule>
  </conditionalFormatting>
  <conditionalFormatting sqref="D677">
    <cfRule type="containsText" dxfId="1522" priority="1376" operator="containsText" text="Pesquisa de Preços">
      <formula>NOT(ISERROR(SEARCH("Pesquisa de Preços",D677)))</formula>
    </cfRule>
  </conditionalFormatting>
  <conditionalFormatting sqref="D669">
    <cfRule type="containsText" dxfId="1521" priority="1375" operator="containsText" text="Pesquisa de Preços">
      <formula>NOT(ISERROR(SEARCH("Pesquisa de Preços",D669)))</formula>
    </cfRule>
  </conditionalFormatting>
  <conditionalFormatting sqref="D175:D176">
    <cfRule type="containsText" dxfId="1520" priority="1469" operator="containsText" text="Pesquisa de Preços">
      <formula>NOT(ISERROR(SEARCH("Pesquisa de Preços",D175)))</formula>
    </cfRule>
  </conditionalFormatting>
  <conditionalFormatting sqref="D219:D220">
    <cfRule type="containsText" dxfId="1519" priority="1468" operator="containsText" text="Pesquisa de Preços">
      <formula>NOT(ISERROR(SEARCH("Pesquisa de Preços",D219)))</formula>
    </cfRule>
  </conditionalFormatting>
  <conditionalFormatting sqref="D685:D686 D690:D691">
    <cfRule type="containsText" dxfId="1518" priority="1374" operator="containsText" text="Pesquisa de Preços">
      <formula>NOT(ISERROR(SEARCH("Pesquisa de Preços",D685)))</formula>
    </cfRule>
  </conditionalFormatting>
  <conditionalFormatting sqref="D221">
    <cfRule type="containsText" dxfId="1517" priority="1467" operator="containsText" text="Pesquisa de Preços">
      <formula>NOT(ISERROR(SEARCH("Pesquisa de Preços",D221)))</formula>
    </cfRule>
  </conditionalFormatting>
  <conditionalFormatting sqref="D126">
    <cfRule type="containsText" dxfId="1516" priority="1466" operator="containsText" text="Pesquisa de Preços">
      <formula>NOT(ISERROR(SEARCH("Pesquisa de Preços",D126)))</formula>
    </cfRule>
  </conditionalFormatting>
  <conditionalFormatting sqref="D709">
    <cfRule type="containsText" dxfId="1515" priority="1372" operator="containsText" text="Pesquisa de Preços">
      <formula>NOT(ISERROR(SEARCH("Pesquisa de Preços",D709)))</formula>
    </cfRule>
  </conditionalFormatting>
  <conditionalFormatting sqref="D166:D167">
    <cfRule type="containsText" dxfId="1514" priority="1465" operator="containsText" text="Pesquisa de Preços">
      <formula>NOT(ISERROR(SEARCH("Pesquisa de Preços",D166)))</formula>
    </cfRule>
  </conditionalFormatting>
  <conditionalFormatting sqref="D723">
    <cfRule type="containsText" dxfId="1513" priority="1371" operator="containsText" text="Pesquisa de Preços">
      <formula>NOT(ISERROR(SEARCH("Pesquisa de Preços",D723)))</formula>
    </cfRule>
  </conditionalFormatting>
  <conditionalFormatting sqref="D168">
    <cfRule type="containsText" dxfId="1512" priority="1464" operator="containsText" text="Pesquisa de Preços">
      <formula>NOT(ISERROR(SEARCH("Pesquisa de Preços",D168)))</formula>
    </cfRule>
  </conditionalFormatting>
  <conditionalFormatting sqref="D83">
    <cfRule type="containsText" dxfId="1511" priority="1463" operator="containsText" text="Pesquisa de Preços">
      <formula>NOT(ISERROR(SEARCH("Pesquisa de Preços",D83)))</formula>
    </cfRule>
  </conditionalFormatting>
  <conditionalFormatting sqref="D112">
    <cfRule type="containsText" dxfId="1510" priority="1462" operator="containsText" text="Pesquisa de Preços">
      <formula>NOT(ISERROR(SEARCH("Pesquisa de Preços",D112)))</formula>
    </cfRule>
  </conditionalFormatting>
  <conditionalFormatting sqref="D210:D211">
    <cfRule type="containsText" dxfId="1509" priority="1461" operator="containsText" text="Pesquisa de Preços">
      <formula>NOT(ISERROR(SEARCH("Pesquisa de Preços",D210)))</formula>
    </cfRule>
  </conditionalFormatting>
  <conditionalFormatting sqref="D201">
    <cfRule type="containsText" dxfId="1508" priority="1460" operator="containsText" text="Pesquisa de Preços">
      <formula>NOT(ISERROR(SEARCH("Pesquisa de Preços",D201)))</formula>
    </cfRule>
  </conditionalFormatting>
  <conditionalFormatting sqref="D197:D198">
    <cfRule type="containsText" dxfId="1507" priority="1458" operator="containsText" text="Pesquisa de Preços">
      <formula>NOT(ISERROR(SEARCH("Pesquisa de Preços",D197)))</formula>
    </cfRule>
  </conditionalFormatting>
  <conditionalFormatting sqref="D202:D203">
    <cfRule type="containsText" dxfId="1506" priority="1459" operator="containsText" text="Pesquisa de Preços">
      <formula>NOT(ISERROR(SEARCH("Pesquisa de Preços",D202)))</formula>
    </cfRule>
  </conditionalFormatting>
  <conditionalFormatting sqref="D70:D71 D75:D76">
    <cfRule type="containsText" dxfId="1505" priority="1457" operator="containsText" text="Pesquisa de Preços">
      <formula>NOT(ISERROR(SEARCH("Pesquisa de Preços",D70)))</formula>
    </cfRule>
  </conditionalFormatting>
  <conditionalFormatting sqref="D72:D74">
    <cfRule type="containsText" dxfId="1504" priority="1456" operator="containsText" text="Pesquisa de Preços">
      <formula>NOT(ISERROR(SEARCH("Pesquisa de Preços",D72)))</formula>
    </cfRule>
  </conditionalFormatting>
  <conditionalFormatting sqref="D135:D136">
    <cfRule type="containsText" dxfId="1503" priority="1455" operator="containsText" text="Pesquisa de Preços">
      <formula>NOT(ISERROR(SEARCH("Pesquisa de Preços",D135)))</formula>
    </cfRule>
  </conditionalFormatting>
  <conditionalFormatting sqref="D139:D140">
    <cfRule type="containsText" dxfId="1502" priority="1454" operator="containsText" text="Pesquisa de Preços">
      <formula>NOT(ISERROR(SEARCH("Pesquisa de Preços",D139)))</formula>
    </cfRule>
  </conditionalFormatting>
  <conditionalFormatting sqref="D783 D785:D794">
    <cfRule type="containsText" dxfId="1501" priority="1368" operator="containsText" text="Pesquisa de Preços">
      <formula>NOT(ISERROR(SEARCH("Pesquisa de Preços",D783)))</formula>
    </cfRule>
  </conditionalFormatting>
  <conditionalFormatting sqref="D154:D156">
    <cfRule type="containsText" dxfId="1500" priority="1453" operator="containsText" text="Pesquisa de Preços">
      <formula>NOT(ISERROR(SEARCH("Pesquisa de Preços",D154)))</formula>
    </cfRule>
  </conditionalFormatting>
  <conditionalFormatting sqref="D825">
    <cfRule type="containsText" dxfId="1499" priority="1367" operator="containsText" text="Pesquisa de Preços">
      <formula>NOT(ISERROR(SEARCH("Pesquisa de Preços",D825)))</formula>
    </cfRule>
  </conditionalFormatting>
  <conditionalFormatting sqref="D93">
    <cfRule type="containsText" dxfId="1498" priority="1452" operator="containsText" text="Pesquisa de Preços">
      <formula>NOT(ISERROR(SEARCH("Pesquisa de Preços",D93)))</formula>
    </cfRule>
  </conditionalFormatting>
  <conditionalFormatting sqref="D807:D808">
    <cfRule type="containsText" dxfId="1497" priority="1366" operator="containsText" text="Pesquisa de Preços">
      <formula>NOT(ISERROR(SEARCH("Pesquisa de Preços",D807)))</formula>
    </cfRule>
  </conditionalFormatting>
  <conditionalFormatting sqref="D48:D49">
    <cfRule type="containsText" dxfId="1496" priority="1451" operator="containsText" text="Pesquisa de Preços">
      <formula>NOT(ISERROR(SEARCH("Pesquisa de Preços",D48)))</formula>
    </cfRule>
  </conditionalFormatting>
  <conditionalFormatting sqref="D50">
    <cfRule type="containsText" dxfId="1495" priority="1450" operator="containsText" text="Pesquisa de Preços">
      <formula>NOT(ISERROR(SEARCH("Pesquisa de Preços",D50)))</formula>
    </cfRule>
  </conditionalFormatting>
  <conditionalFormatting sqref="D190:D191">
    <cfRule type="containsText" dxfId="1494" priority="1449" operator="containsText" text="Pesquisa de Preços">
      <formula>NOT(ISERROR(SEARCH("Pesquisa de Preços",D190)))</formula>
    </cfRule>
  </conditionalFormatting>
  <conditionalFormatting sqref="D741:D742 D745:D746">
    <cfRule type="containsText" dxfId="1493" priority="1365" operator="containsText" text="Pesquisa de Preços">
      <formula>NOT(ISERROR(SEARCH("Pesquisa de Preços",D741)))</formula>
    </cfRule>
  </conditionalFormatting>
  <conditionalFormatting sqref="D192">
    <cfRule type="containsText" dxfId="1492" priority="1448" operator="containsText" text="Pesquisa de Preços">
      <formula>NOT(ISERROR(SEARCH("Pesquisa de Preços",D192)))</formula>
    </cfRule>
  </conditionalFormatting>
  <conditionalFormatting sqref="D214">
    <cfRule type="containsText" dxfId="1491" priority="1447" operator="containsText" text="Pesquisa de Preços">
      <formula>NOT(ISERROR(SEARCH("Pesquisa de Preços",D214)))</formula>
    </cfRule>
  </conditionalFormatting>
  <conditionalFormatting sqref="D216">
    <cfRule type="containsText" dxfId="1490" priority="1446" operator="containsText" text="Pesquisa de Preços">
      <formula>NOT(ISERROR(SEARCH("Pesquisa de Preços",D216)))</formula>
    </cfRule>
  </conditionalFormatting>
  <conditionalFormatting sqref="D121">
    <cfRule type="containsText" dxfId="1489" priority="1445" operator="containsText" text="Pesquisa de Preços">
      <formula>NOT(ISERROR(SEARCH("Pesquisa de Preços",D121)))</formula>
    </cfRule>
  </conditionalFormatting>
  <conditionalFormatting sqref="D748:D749">
    <cfRule type="containsText" dxfId="1488" priority="1363" operator="containsText" text="Pesquisa de Preços">
      <formula>NOT(ISERROR(SEARCH("Pesquisa de Preços",D748)))</formula>
    </cfRule>
  </conditionalFormatting>
  <conditionalFormatting sqref="D123">
    <cfRule type="containsText" dxfId="1487" priority="1444" operator="containsText" text="Pesquisa de Preços">
      <formula>NOT(ISERROR(SEARCH("Pesquisa de Preços",D123)))</formula>
    </cfRule>
  </conditionalFormatting>
  <conditionalFormatting sqref="D107:D108">
    <cfRule type="containsText" dxfId="1486" priority="1443" operator="containsText" text="Pesquisa de Preços">
      <formula>NOT(ISERROR(SEARCH("Pesquisa de Preços",D107)))</formula>
    </cfRule>
  </conditionalFormatting>
  <conditionalFormatting sqref="D816 D818">
    <cfRule type="containsText" dxfId="1485" priority="1361" operator="containsText" text="Pesquisa de Preços">
      <formula>NOT(ISERROR(SEARCH("Pesquisa de Preços",D816)))</formula>
    </cfRule>
  </conditionalFormatting>
  <conditionalFormatting sqref="D109">
    <cfRule type="containsText" dxfId="1484" priority="1442" operator="containsText" text="Pesquisa de Preços">
      <formula>NOT(ISERROR(SEARCH("Pesquisa de Preços",D109)))</formula>
    </cfRule>
  </conditionalFormatting>
  <conditionalFormatting sqref="D131">
    <cfRule type="containsText" dxfId="1483" priority="1441" operator="containsText" text="Pesquisa de Preços">
      <formula>NOT(ISERROR(SEARCH("Pesquisa de Preços",D131)))</formula>
    </cfRule>
  </conditionalFormatting>
  <conditionalFormatting sqref="D820">
    <cfRule type="containsText" dxfId="1482" priority="1360" operator="containsText" text="Pesquisa de Preços">
      <formula>NOT(ISERROR(SEARCH("Pesquisa de Preços",D820)))</formula>
    </cfRule>
  </conditionalFormatting>
  <conditionalFormatting sqref="D65">
    <cfRule type="containsText" dxfId="1481" priority="1440" operator="containsText" text="Pesquisa de Preços">
      <formula>NOT(ISERROR(SEARCH("Pesquisa de Preços",D65)))</formula>
    </cfRule>
  </conditionalFormatting>
  <conditionalFormatting sqref="D797">
    <cfRule type="containsText" dxfId="1480" priority="1359" operator="containsText" text="Pesquisa de Preços">
      <formula>NOT(ISERROR(SEARCH("Pesquisa de Preços",D797)))</formula>
    </cfRule>
  </conditionalFormatting>
  <conditionalFormatting sqref="D67">
    <cfRule type="containsText" dxfId="1479" priority="1439" operator="containsText" text="Pesquisa de Preços">
      <formula>NOT(ISERROR(SEARCH("Pesquisa de Preços",D67)))</formula>
    </cfRule>
  </conditionalFormatting>
  <conditionalFormatting sqref="D321">
    <cfRule type="containsText" dxfId="1478" priority="1428" operator="containsText" text="Pesquisa de Preços">
      <formula>NOT(ISERROR(SEARCH("Pesquisa de Preços",D321)))</formula>
    </cfRule>
  </conditionalFormatting>
  <conditionalFormatting sqref="D342">
    <cfRule type="containsText" dxfId="1477" priority="1425" operator="containsText" text="Pesquisa de Preços">
      <formula>NOT(ISERROR(SEARCH("Pesquisa de Preços",D342)))</formula>
    </cfRule>
  </conditionalFormatting>
  <conditionalFormatting sqref="D327:D328">
    <cfRule type="containsText" dxfId="1476" priority="1420" operator="containsText" text="Pesquisa de Preços">
      <formula>NOT(ISERROR(SEARCH("Pesquisa de Preços",D327)))</formula>
    </cfRule>
  </conditionalFormatting>
  <conditionalFormatting sqref="D416 D421">
    <cfRule type="containsText" dxfId="1475" priority="1413" operator="containsText" text="Pesquisa de Preços">
      <formula>NOT(ISERROR(SEARCH("Pesquisa de Preços",D416)))</formula>
    </cfRule>
  </conditionalFormatting>
  <conditionalFormatting sqref="D246">
    <cfRule type="containsText" dxfId="1474" priority="1438" operator="containsText" text="Pesquisa de Preços">
      <formula>NOT(ISERROR(SEARCH("Pesquisa de Preços",D246)))</formula>
    </cfRule>
  </conditionalFormatting>
  <conditionalFormatting sqref="D248:D249">
    <cfRule type="containsText" dxfId="1473" priority="1437" operator="containsText" text="Pesquisa de Preços">
      <formula>NOT(ISERROR(SEARCH("Pesquisa de Preços",D248)))</formula>
    </cfRule>
  </conditionalFormatting>
  <conditionalFormatting sqref="D1085:D1086">
    <cfRule type="containsText" dxfId="1472" priority="1323" operator="containsText" text="Pesquisa de Preços">
      <formula>NOT(ISERROR(SEARCH("Pesquisa de Preços",D1085)))</formula>
    </cfRule>
  </conditionalFormatting>
  <conditionalFormatting sqref="D250:D260">
    <cfRule type="containsText" dxfId="1471" priority="1436" operator="containsText" text="Pesquisa de Preços">
      <formula>NOT(ISERROR(SEARCH("Pesquisa de Preços",D250)))</formula>
    </cfRule>
  </conditionalFormatting>
  <conditionalFormatting sqref="D263:D264">
    <cfRule type="containsText" dxfId="1470" priority="1435" operator="containsText" text="Pesquisa de Preços">
      <formula>NOT(ISERROR(SEARCH("Pesquisa de Preços",D263)))</formula>
    </cfRule>
  </conditionalFormatting>
  <conditionalFormatting sqref="D277:D278 D282">
    <cfRule type="containsText" dxfId="1469" priority="1434" operator="containsText" text="Pesquisa de Preços">
      <formula>NOT(ISERROR(SEARCH("Pesquisa de Preços",D277)))</formula>
    </cfRule>
  </conditionalFormatting>
  <conditionalFormatting sqref="D279:D280">
    <cfRule type="containsText" dxfId="1468" priority="1433" operator="containsText" text="Pesquisa de Preços">
      <formula>NOT(ISERROR(SEARCH("Pesquisa de Preços",D279)))</formula>
    </cfRule>
  </conditionalFormatting>
  <conditionalFormatting sqref="D284:D285 D289">
    <cfRule type="containsText" dxfId="1467" priority="1432" operator="containsText" text="Pesquisa de Preços">
      <formula>NOT(ISERROR(SEARCH("Pesquisa de Preços",D284)))</formula>
    </cfRule>
  </conditionalFormatting>
  <conditionalFormatting sqref="D286:D287">
    <cfRule type="containsText" dxfId="1466" priority="1431" operator="containsText" text="Pesquisa de Preços">
      <formula>NOT(ISERROR(SEARCH("Pesquisa de Preços",D286)))</formula>
    </cfRule>
  </conditionalFormatting>
  <conditionalFormatting sqref="D269:D270 D274:D275">
    <cfRule type="containsText" dxfId="1465" priority="1430" operator="containsText" text="Pesquisa de Preços">
      <formula>NOT(ISERROR(SEARCH("Pesquisa de Preços",D269)))</formula>
    </cfRule>
  </conditionalFormatting>
  <conditionalFormatting sqref="D271:D272">
    <cfRule type="containsText" dxfId="1464" priority="1429" operator="containsText" text="Pesquisa de Preços">
      <formula>NOT(ISERROR(SEARCH("Pesquisa de Preços",D271)))</formula>
    </cfRule>
  </conditionalFormatting>
  <conditionalFormatting sqref="D532:D533 D536">
    <cfRule type="containsText" dxfId="1463" priority="1394" operator="containsText" text="Pesquisa de Preços">
      <formula>NOT(ISERROR(SEARCH("Pesquisa de Preços",D532)))</formula>
    </cfRule>
  </conditionalFormatting>
  <conditionalFormatting sqref="D306">
    <cfRule type="containsText" dxfId="1462" priority="1427" operator="containsText" text="Pesquisa de Preços">
      <formula>NOT(ISERROR(SEARCH("Pesquisa de Preços",D306)))</formula>
    </cfRule>
  </conditionalFormatting>
  <conditionalFormatting sqref="D312:D314">
    <cfRule type="containsText" dxfId="1461" priority="1426" operator="containsText" text="Pesquisa de Preços">
      <formula>NOT(ISERROR(SEARCH("Pesquisa de Preços",D312)))</formula>
    </cfRule>
  </conditionalFormatting>
  <conditionalFormatting sqref="D352">
    <cfRule type="containsText" dxfId="1460" priority="1424" operator="containsText" text="Pesquisa de Preços">
      <formula>NOT(ISERROR(SEARCH("Pesquisa de Preços",D352)))</formula>
    </cfRule>
  </conditionalFormatting>
  <conditionalFormatting sqref="D355:D358">
    <cfRule type="containsText" dxfId="1459" priority="1423" operator="containsText" text="Pesquisa de Preços">
      <formula>NOT(ISERROR(SEARCH("Pesquisa de Preços",D355)))</formula>
    </cfRule>
  </conditionalFormatting>
  <conditionalFormatting sqref="D291">
    <cfRule type="containsText" dxfId="1458" priority="1422" operator="containsText" text="Pesquisa de Preços">
      <formula>NOT(ISERROR(SEARCH("Pesquisa de Preços",D291)))</formula>
    </cfRule>
  </conditionalFormatting>
  <conditionalFormatting sqref="D298:D299">
    <cfRule type="containsText" dxfId="1457" priority="1421" operator="containsText" text="Pesquisa de Preços">
      <formula>NOT(ISERROR(SEARCH("Pesquisa de Preços",D298)))</formula>
    </cfRule>
  </conditionalFormatting>
  <conditionalFormatting sqref="D329:D339">
    <cfRule type="containsText" dxfId="1456" priority="1419" operator="containsText" text="Pesquisa de Preços">
      <formula>NOT(ISERROR(SEARCH("Pesquisa de Preços",D329)))</formula>
    </cfRule>
  </conditionalFormatting>
  <conditionalFormatting sqref="D366:D367 D369:D370">
    <cfRule type="containsText" dxfId="1455" priority="1418" operator="containsText" text="Pesquisa de Preços">
      <formula>NOT(ISERROR(SEARCH("Pesquisa de Preços",D366)))</formula>
    </cfRule>
  </conditionalFormatting>
  <conditionalFormatting sqref="D368">
    <cfRule type="containsText" dxfId="1454" priority="1417" operator="containsText" text="Pesquisa de Preços">
      <formula>NOT(ISERROR(SEARCH("Pesquisa de Preços",D368)))</formula>
    </cfRule>
  </conditionalFormatting>
  <conditionalFormatting sqref="D372:D373 D378:D379">
    <cfRule type="containsText" dxfId="1453" priority="1416" operator="containsText" text="Pesquisa de Preços">
      <formula>NOT(ISERROR(SEARCH("Pesquisa de Preços",D372)))</formula>
    </cfRule>
  </conditionalFormatting>
  <conditionalFormatting sqref="D374:D377">
    <cfRule type="containsText" dxfId="1452" priority="1415" operator="containsText" text="Pesquisa de Preços">
      <formula>NOT(ISERROR(SEARCH("Pesquisa de Preços",D374)))</formula>
    </cfRule>
  </conditionalFormatting>
  <conditionalFormatting sqref="D402">
    <cfRule type="containsText" dxfId="1451" priority="1414" operator="containsText" text="Pesquisa de Preços">
      <formula>NOT(ISERROR(SEARCH("Pesquisa de Preços",D402)))</formula>
    </cfRule>
  </conditionalFormatting>
  <conditionalFormatting sqref="D441:D442 D444:D445">
    <cfRule type="containsText" dxfId="1450" priority="1412" operator="containsText" text="Pesquisa de Preços">
      <formula>NOT(ISERROR(SEARCH("Pesquisa de Preços",D441)))</formula>
    </cfRule>
  </conditionalFormatting>
  <conditionalFormatting sqref="D443">
    <cfRule type="containsText" dxfId="1449" priority="1411" operator="containsText" text="Pesquisa de Preços">
      <formula>NOT(ISERROR(SEARCH("Pesquisa de Preços",D443)))</formula>
    </cfRule>
  </conditionalFormatting>
  <conditionalFormatting sqref="D435:D436 D438:D439">
    <cfRule type="containsText" dxfId="1448" priority="1410" operator="containsText" text="Pesquisa de Preços">
      <formula>NOT(ISERROR(SEARCH("Pesquisa de Preços",D435)))</formula>
    </cfRule>
  </conditionalFormatting>
  <conditionalFormatting sqref="D437">
    <cfRule type="containsText" dxfId="1447" priority="1409" operator="containsText" text="Pesquisa de Preços">
      <formula>NOT(ISERROR(SEARCH("Pesquisa de Preços",D437)))</formula>
    </cfRule>
  </conditionalFormatting>
  <conditionalFormatting sqref="D455:D456 D459:D463">
    <cfRule type="containsText" dxfId="1446" priority="1408" operator="containsText" text="Pesquisa de Preços">
      <formula>NOT(ISERROR(SEARCH("Pesquisa de Preços",D455)))</formula>
    </cfRule>
  </conditionalFormatting>
  <conditionalFormatting sqref="D458">
    <cfRule type="containsText" dxfId="1445" priority="1407" operator="containsText" text="Pesquisa de Preços">
      <formula>NOT(ISERROR(SEARCH("Pesquisa de Preços",D458)))</formula>
    </cfRule>
  </conditionalFormatting>
  <conditionalFormatting sqref="D465:D466 D469:D470">
    <cfRule type="containsText" dxfId="1444" priority="1406" operator="containsText" text="Pesquisa de Preços">
      <formula>NOT(ISERROR(SEARCH("Pesquisa de Preços",D465)))</formula>
    </cfRule>
  </conditionalFormatting>
  <conditionalFormatting sqref="D468">
    <cfRule type="containsText" dxfId="1443" priority="1405" operator="containsText" text="Pesquisa de Preços">
      <formula>NOT(ISERROR(SEARCH("Pesquisa de Preços",D468)))</formula>
    </cfRule>
  </conditionalFormatting>
  <conditionalFormatting sqref="D472 D482">
    <cfRule type="containsText" dxfId="1442" priority="1404" operator="containsText" text="Pesquisa de Preços">
      <formula>NOT(ISERROR(SEARCH("Pesquisa de Preços",D472)))</formula>
    </cfRule>
  </conditionalFormatting>
  <conditionalFormatting sqref="D447 D451 D453">
    <cfRule type="containsText" dxfId="1441" priority="1403" operator="containsText" text="Pesquisa de Preços">
      <formula>NOT(ISERROR(SEARCH("Pesquisa de Preços",D447)))</formula>
    </cfRule>
  </conditionalFormatting>
  <conditionalFormatting sqref="D484:D485 D488">
    <cfRule type="containsText" dxfId="1440" priority="1402" operator="containsText" text="Pesquisa de Preços">
      <formula>NOT(ISERROR(SEARCH("Pesquisa de Preços",D484)))</formula>
    </cfRule>
  </conditionalFormatting>
  <conditionalFormatting sqref="D486">
    <cfRule type="containsText" dxfId="1439" priority="1401" operator="containsText" text="Pesquisa de Preços">
      <formula>NOT(ISERROR(SEARCH("Pesquisa de Preços",D486)))</formula>
    </cfRule>
  </conditionalFormatting>
  <conditionalFormatting sqref="D505:D506 D509:D510">
    <cfRule type="containsText" dxfId="1438" priority="1400" operator="containsText" text="Pesquisa de Preços">
      <formula>NOT(ISERROR(SEARCH("Pesquisa de Preços",D505)))</formula>
    </cfRule>
  </conditionalFormatting>
  <conditionalFormatting sqref="D507:D508">
    <cfRule type="containsText" dxfId="1437" priority="1399" operator="containsText" text="Pesquisa de Preços">
      <formula>NOT(ISERROR(SEARCH("Pesquisa de Preços",D507)))</formula>
    </cfRule>
  </conditionalFormatting>
  <conditionalFormatting sqref="D502:D503 D498:D499">
    <cfRule type="containsText" dxfId="1436" priority="1398" operator="containsText" text="Pesquisa de Preços">
      <formula>NOT(ISERROR(SEARCH("Pesquisa de Preços",D498)))</formula>
    </cfRule>
  </conditionalFormatting>
  <conditionalFormatting sqref="D500:D501">
    <cfRule type="containsText" dxfId="1435" priority="1397" operator="containsText" text="Pesquisa de Preços">
      <formula>NOT(ISERROR(SEARCH("Pesquisa de Preços",D500)))</formula>
    </cfRule>
  </conditionalFormatting>
  <conditionalFormatting sqref="D512:D513 D516">
    <cfRule type="containsText" dxfId="1434" priority="1396" operator="containsText" text="Pesquisa de Preços">
      <formula>NOT(ISERROR(SEARCH("Pesquisa de Preços",D512)))</formula>
    </cfRule>
  </conditionalFormatting>
  <conditionalFormatting sqref="D534">
    <cfRule type="containsText" dxfId="1433" priority="1393" operator="containsText" text="Pesquisa de Preços">
      <formula>NOT(ISERROR(SEARCH("Pesquisa de Preços",D534)))</formula>
    </cfRule>
  </conditionalFormatting>
  <conditionalFormatting sqref="D525:D526 D530">
    <cfRule type="containsText" dxfId="1432" priority="1391" operator="containsText" text="Pesquisa de Preços">
      <formula>NOT(ISERROR(SEARCH("Pesquisa de Preços",D525)))</formula>
    </cfRule>
  </conditionalFormatting>
  <conditionalFormatting sqref="D527:D528">
    <cfRule type="containsText" dxfId="1431" priority="1390" operator="containsText" text="Pesquisa de Preços">
      <formula>NOT(ISERROR(SEARCH("Pesquisa de Preços",D527)))</formula>
    </cfRule>
  </conditionalFormatting>
  <conditionalFormatting sqref="D518 D523">
    <cfRule type="containsText" dxfId="1430" priority="1389" operator="containsText" text="Pesquisa de Preços">
      <formula>NOT(ISERROR(SEARCH("Pesquisa de Preços",D518)))</formula>
    </cfRule>
  </conditionalFormatting>
  <conditionalFormatting sqref="D546:D547 D552">
    <cfRule type="containsText" dxfId="1429" priority="1388" operator="containsText" text="Pesquisa de Preços">
      <formula>NOT(ISERROR(SEARCH("Pesquisa de Preços",D546)))</formula>
    </cfRule>
  </conditionalFormatting>
  <conditionalFormatting sqref="D548:D550">
    <cfRule type="containsText" dxfId="1428" priority="1387" operator="containsText" text="Pesquisa de Preços">
      <formula>NOT(ISERROR(SEARCH("Pesquisa de Preços",D548)))</formula>
    </cfRule>
  </conditionalFormatting>
  <conditionalFormatting sqref="D554:D555 D559:D560">
    <cfRule type="containsText" dxfId="1427" priority="1386" operator="containsText" text="Pesquisa de Preços">
      <formula>NOT(ISERROR(SEARCH("Pesquisa de Preços",D554)))</formula>
    </cfRule>
  </conditionalFormatting>
  <conditionalFormatting sqref="D557:D558">
    <cfRule type="containsText" dxfId="1426" priority="1385" operator="containsText" text="Pesquisa de Preços">
      <formula>NOT(ISERROR(SEARCH("Pesquisa de Preços",D557)))</formula>
    </cfRule>
  </conditionalFormatting>
  <conditionalFormatting sqref="D538:D539 D543:D544">
    <cfRule type="containsText" dxfId="1425" priority="1384" operator="containsText" text="Pesquisa de Preços">
      <formula>NOT(ISERROR(SEARCH("Pesquisa de Preços",D538)))</formula>
    </cfRule>
  </conditionalFormatting>
  <conditionalFormatting sqref="D540:D542">
    <cfRule type="containsText" dxfId="1424" priority="1383" operator="containsText" text="Pesquisa de Preços">
      <formula>NOT(ISERROR(SEARCH("Pesquisa de Preços",D540)))</formula>
    </cfRule>
  </conditionalFormatting>
  <conditionalFormatting sqref="D562:D563 D567:D568">
    <cfRule type="containsText" dxfId="1423" priority="1382" operator="containsText" text="Pesquisa de Preços">
      <formula>NOT(ISERROR(SEARCH("Pesquisa de Preços",D562)))</formula>
    </cfRule>
  </conditionalFormatting>
  <conditionalFormatting sqref="D564:D566">
    <cfRule type="containsText" dxfId="1422" priority="1381" operator="containsText" text="Pesquisa de Preços">
      <formula>NOT(ISERROR(SEARCH("Pesquisa de Preços",D564)))</formula>
    </cfRule>
  </conditionalFormatting>
  <conditionalFormatting sqref="D570:D571">
    <cfRule type="containsText" dxfId="1421" priority="1380" operator="containsText" text="Pesquisa de Preços">
      <formula>NOT(ISERROR(SEARCH("Pesquisa de Preços",D570)))</formula>
    </cfRule>
  </conditionalFormatting>
  <conditionalFormatting sqref="D580:D581 D584:D587">
    <cfRule type="containsText" dxfId="1420" priority="1379" operator="containsText" text="Pesquisa de Preços">
      <formula>NOT(ISERROR(SEARCH("Pesquisa de Preços",D580)))</formula>
    </cfRule>
  </conditionalFormatting>
  <conditionalFormatting sqref="D582:D583">
    <cfRule type="containsText" dxfId="1419" priority="1378" operator="containsText" text="Pesquisa de Preços">
      <formula>NOT(ISERROR(SEARCH("Pesquisa de Preços",D582)))</formula>
    </cfRule>
  </conditionalFormatting>
  <conditionalFormatting sqref="D622 D627:D628">
    <cfRule type="containsText" dxfId="1418" priority="1377" operator="containsText" text="Pesquisa de Preços">
      <formula>NOT(ISERROR(SEARCH("Pesquisa de Preços",D622)))</formula>
    </cfRule>
  </conditionalFormatting>
  <conditionalFormatting sqref="D750:D756">
    <cfRule type="containsText" dxfId="1417" priority="1362" operator="containsText" text="Pesquisa de Preços">
      <formula>NOT(ISERROR(SEARCH("Pesquisa de Preços",D750)))</formula>
    </cfRule>
  </conditionalFormatting>
  <conditionalFormatting sqref="D687:D689">
    <cfRule type="containsText" dxfId="1416" priority="1373" operator="containsText" text="Pesquisa de Preços">
      <formula>NOT(ISERROR(SEARCH("Pesquisa de Preços",D687)))</formula>
    </cfRule>
  </conditionalFormatting>
  <conditionalFormatting sqref="D716">
    <cfRule type="containsText" dxfId="1415" priority="1370" operator="containsText" text="Pesquisa de Preços">
      <formula>NOT(ISERROR(SEARCH("Pesquisa de Preços",D716)))</formula>
    </cfRule>
  </conditionalFormatting>
  <conditionalFormatting sqref="D759">
    <cfRule type="containsText" dxfId="1414" priority="1357" operator="containsText" text="Pesquisa de Preços">
      <formula>NOT(ISERROR(SEARCH("Pesquisa de Preços",D759)))</formula>
    </cfRule>
  </conditionalFormatting>
  <conditionalFormatting sqref="D737:D738">
    <cfRule type="containsText" dxfId="1413" priority="1369" operator="containsText" text="Pesquisa de Preços">
      <formula>NOT(ISERROR(SEARCH("Pesquisa de Preços",D737)))</formula>
    </cfRule>
  </conditionalFormatting>
  <conditionalFormatting sqref="D743:D744">
    <cfRule type="containsText" dxfId="1412" priority="1364" operator="containsText" text="Pesquisa de Preços">
      <formula>NOT(ISERROR(SEARCH("Pesquisa de Preços",D743)))</formula>
    </cfRule>
  </conditionalFormatting>
  <conditionalFormatting sqref="D940">
    <cfRule type="containsText" dxfId="1411" priority="1344" operator="containsText" text="Pesquisa de Preços">
      <formula>NOT(ISERROR(SEARCH("Pesquisa de Preços",D940)))</formula>
    </cfRule>
  </conditionalFormatting>
  <conditionalFormatting sqref="D811 D814">
    <cfRule type="containsText" dxfId="1410" priority="1358" operator="containsText" text="Pesquisa de Preços">
      <formula>NOT(ISERROR(SEARCH("Pesquisa de Preços",D811)))</formula>
    </cfRule>
  </conditionalFormatting>
  <conditionalFormatting sqref="D976:D980">
    <cfRule type="containsText" dxfId="1409" priority="1340" operator="containsText" text="Pesquisa de Preços">
      <formula>NOT(ISERROR(SEARCH("Pesquisa de Preços",D976)))</formula>
    </cfRule>
  </conditionalFormatting>
  <conditionalFormatting sqref="D183:D184">
    <cfRule type="containsText" dxfId="1408" priority="1356" operator="containsText" text="Pesquisa de Preços">
      <formula>NOT(ISERROR(SEARCH("Pesquisa de Preços",D183)))</formula>
    </cfRule>
  </conditionalFormatting>
  <conditionalFormatting sqref="D1008:D1010">
    <cfRule type="containsText" dxfId="1407" priority="1336" operator="containsText" text="Pesquisa de Preços">
      <formula>NOT(ISERROR(SEARCH("Pesquisa de Preços",D1008)))</formula>
    </cfRule>
  </conditionalFormatting>
  <conditionalFormatting sqref="D185:D187">
    <cfRule type="containsText" dxfId="1406" priority="1355" operator="containsText" text="Pesquisa de Preços">
      <formula>NOT(ISERROR(SEARCH("Pesquisa de Preços",D185)))</formula>
    </cfRule>
  </conditionalFormatting>
  <conditionalFormatting sqref="D832 D835:D836">
    <cfRule type="containsText" dxfId="1405" priority="1354" operator="containsText" text="Pesquisa de Preços">
      <formula>NOT(ISERROR(SEARCH("Pesquisa de Preços",D832)))</formula>
    </cfRule>
  </conditionalFormatting>
  <conditionalFormatting sqref="D834">
    <cfRule type="containsText" dxfId="1404" priority="1353" operator="containsText" text="Pesquisa de Preços">
      <formula>NOT(ISERROR(SEARCH("Pesquisa de Preços",D834)))</formula>
    </cfRule>
  </conditionalFormatting>
  <conditionalFormatting sqref="D906:D911">
    <cfRule type="containsText" dxfId="1403" priority="1352" operator="containsText" text="Pesquisa de Preços">
      <formula>NOT(ISERROR(SEARCH("Pesquisa de Preços",D906)))</formula>
    </cfRule>
  </conditionalFormatting>
  <conditionalFormatting sqref="D931:D936">
    <cfRule type="containsText" dxfId="1402" priority="1351" operator="containsText" text="Pesquisa de Preços">
      <formula>NOT(ISERROR(SEARCH("Pesquisa de Preços",D931)))</formula>
    </cfRule>
  </conditionalFormatting>
  <conditionalFormatting sqref="D922">
    <cfRule type="containsText" dxfId="1401" priority="1350" operator="containsText" text="Pesquisa de Preços">
      <formula>NOT(ISERROR(SEARCH("Pesquisa de Preços",D922)))</formula>
    </cfRule>
  </conditionalFormatting>
  <conditionalFormatting sqref="D915 D920">
    <cfRule type="containsText" dxfId="1400" priority="1349" operator="containsText" text="Pesquisa de Preços">
      <formula>NOT(ISERROR(SEARCH("Pesquisa de Preços",D915)))</formula>
    </cfRule>
  </conditionalFormatting>
  <conditionalFormatting sqref="D961:D962">
    <cfRule type="containsText" dxfId="1399" priority="1347" operator="containsText" text="Pesquisa de Preços">
      <formula>NOT(ISERROR(SEARCH("Pesquisa de Preços",D961)))</formula>
    </cfRule>
  </conditionalFormatting>
  <conditionalFormatting sqref="D959:D960">
    <cfRule type="containsText" dxfId="1398" priority="1348" operator="containsText" text="Pesquisa de Preços">
      <formula>NOT(ISERROR(SEARCH("Pesquisa de Preços",D959)))</formula>
    </cfRule>
  </conditionalFormatting>
  <conditionalFormatting sqref="D952">
    <cfRule type="containsText" dxfId="1397" priority="1346" operator="containsText" text="Pesquisa de Preços">
      <formula>NOT(ISERROR(SEARCH("Pesquisa de Preços",D952)))</formula>
    </cfRule>
  </conditionalFormatting>
  <conditionalFormatting sqref="D946 D950">
    <cfRule type="containsText" dxfId="1396" priority="1345" operator="containsText" text="Pesquisa de Preços">
      <formula>NOT(ISERROR(SEARCH("Pesquisa de Preços",D946)))</formula>
    </cfRule>
  </conditionalFormatting>
  <conditionalFormatting sqref="D966:D967 D970:D971">
    <cfRule type="containsText" dxfId="1395" priority="1343" operator="containsText" text="Pesquisa de Preços">
      <formula>NOT(ISERROR(SEARCH("Pesquisa de Preços",D966)))</formula>
    </cfRule>
  </conditionalFormatting>
  <conditionalFormatting sqref="D968">
    <cfRule type="containsText" dxfId="1394" priority="1342" operator="containsText" text="Pesquisa de Preços">
      <formula>NOT(ISERROR(SEARCH("Pesquisa de Preços",D968)))</formula>
    </cfRule>
  </conditionalFormatting>
  <conditionalFormatting sqref="D973:D974 D981:D982">
    <cfRule type="containsText" dxfId="1393" priority="1341" operator="containsText" text="Pesquisa de Preços">
      <formula>NOT(ISERROR(SEARCH("Pesquisa de Preços",D973)))</formula>
    </cfRule>
  </conditionalFormatting>
  <conditionalFormatting sqref="D984:D985 D992:D993">
    <cfRule type="containsText" dxfId="1392" priority="1339" operator="containsText" text="Pesquisa de Preços">
      <formula>NOT(ISERROR(SEARCH("Pesquisa de Preços",D984)))</formula>
    </cfRule>
  </conditionalFormatting>
  <conditionalFormatting sqref="D987:D988 D990:D991">
    <cfRule type="containsText" dxfId="1391" priority="1338" operator="containsText" text="Pesquisa de Preços">
      <formula>NOT(ISERROR(SEARCH("Pesquisa de Preços",D987)))</formula>
    </cfRule>
  </conditionalFormatting>
  <conditionalFormatting sqref="D1005:D1006 D1011:D1012">
    <cfRule type="containsText" dxfId="1390" priority="1337" operator="containsText" text="Pesquisa de Preços">
      <formula>NOT(ISERROR(SEARCH("Pesquisa de Preços",D1005)))</formula>
    </cfRule>
  </conditionalFormatting>
  <conditionalFormatting sqref="D995:D996">
    <cfRule type="containsText" dxfId="1389" priority="1335" operator="containsText" text="Pesquisa de Preços">
      <formula>NOT(ISERROR(SEARCH("Pesquisa de Preços",D995)))</formula>
    </cfRule>
  </conditionalFormatting>
  <conditionalFormatting sqref="D1000:D1001">
    <cfRule type="containsText" dxfId="1388" priority="1334" operator="containsText" text="Pesquisa de Preços">
      <formula>NOT(ISERROR(SEARCH("Pesquisa de Preços",D1000)))</formula>
    </cfRule>
  </conditionalFormatting>
  <conditionalFormatting sqref="D1019:D1020 D1027">
    <cfRule type="containsText" dxfId="1387" priority="1333" operator="containsText" text="Pesquisa de Preços">
      <formula>NOT(ISERROR(SEARCH("Pesquisa de Preços",D1019)))</formula>
    </cfRule>
  </conditionalFormatting>
  <conditionalFormatting sqref="D1022:D1024">
    <cfRule type="containsText" dxfId="1386" priority="1332" operator="containsText" text="Pesquisa de Preços">
      <formula>NOT(ISERROR(SEARCH("Pesquisa de Preços",D1022)))</formula>
    </cfRule>
  </conditionalFormatting>
  <conditionalFormatting sqref="D1029:D1030 D1035:D1036">
    <cfRule type="containsText" dxfId="1385" priority="1331" operator="containsText" text="Pesquisa de Preços">
      <formula>NOT(ISERROR(SEARCH("Pesquisa de Preços",D1029)))</formula>
    </cfRule>
  </conditionalFormatting>
  <conditionalFormatting sqref="D1014:D1015">
    <cfRule type="containsText" dxfId="1384" priority="1330" operator="containsText" text="Pesquisa de Preços">
      <formula>NOT(ISERROR(SEARCH("Pesquisa de Preços",D1014)))</formula>
    </cfRule>
  </conditionalFormatting>
  <conditionalFormatting sqref="D1016">
    <cfRule type="containsText" dxfId="1383" priority="1329" operator="containsText" text="Pesquisa de Preços">
      <formula>NOT(ISERROR(SEARCH("Pesquisa de Preços",D1016)))</formula>
    </cfRule>
  </conditionalFormatting>
  <conditionalFormatting sqref="D1091:D1092 D1099">
    <cfRule type="containsText" dxfId="1382" priority="1328" operator="containsText" text="Pesquisa de Preços">
      <formula>NOT(ISERROR(SEARCH("Pesquisa de Preços",D1091)))</formula>
    </cfRule>
  </conditionalFormatting>
  <conditionalFormatting sqref="D1038:D1039 D1042:D1043">
    <cfRule type="containsText" dxfId="1381" priority="1327" operator="containsText" text="Pesquisa de Preços">
      <formula>NOT(ISERROR(SEARCH("Pesquisa de Preços",D1038)))</formula>
    </cfRule>
  </conditionalFormatting>
  <conditionalFormatting sqref="D1040:D1041">
    <cfRule type="containsText" dxfId="1380" priority="1326" operator="containsText" text="Pesquisa de Preços">
      <formula>NOT(ISERROR(SEARCH("Pesquisa de Preços",D1040)))</formula>
    </cfRule>
  </conditionalFormatting>
  <conditionalFormatting sqref="D1052:D1053 D1057">
    <cfRule type="containsText" dxfId="1379" priority="1325" operator="containsText" text="Pesquisa de Preços">
      <formula>NOT(ISERROR(SEARCH("Pesquisa de Preços",D1052)))</formula>
    </cfRule>
  </conditionalFormatting>
  <conditionalFormatting sqref="D1083:D1084 D1089">
    <cfRule type="containsText" dxfId="1378" priority="1324" operator="containsText" text="Pesquisa de Preços">
      <formula>NOT(ISERROR(SEARCH("Pesquisa de Preços",D1083)))</formula>
    </cfRule>
  </conditionalFormatting>
  <conditionalFormatting sqref="D1045:D1046">
    <cfRule type="containsText" dxfId="1377" priority="1322" operator="containsText" text="Pesquisa de Preços">
      <formula>NOT(ISERROR(SEARCH("Pesquisa de Preços",D1045)))</formula>
    </cfRule>
  </conditionalFormatting>
  <conditionalFormatting sqref="D1047:D1049">
    <cfRule type="containsText" dxfId="1376" priority="1321" operator="containsText" text="Pesquisa de Preços">
      <formula>NOT(ISERROR(SEARCH("Pesquisa de Preços",D1047)))</formula>
    </cfRule>
  </conditionalFormatting>
  <conditionalFormatting sqref="D1059">
    <cfRule type="containsText" dxfId="1375" priority="1320" operator="containsText" text="Pesquisa de Preços">
      <formula>NOT(ISERROR(SEARCH("Pesquisa de Preços",D1059)))</formula>
    </cfRule>
  </conditionalFormatting>
  <conditionalFormatting sqref="D1075 D1081">
    <cfRule type="containsText" dxfId="1374" priority="1319" operator="containsText" text="Pesquisa de Preços">
      <formula>NOT(ISERROR(SEARCH("Pesquisa de Preços",D1075)))</formula>
    </cfRule>
  </conditionalFormatting>
  <conditionalFormatting sqref="D1066 D1073">
    <cfRule type="containsText" dxfId="1373" priority="1318" operator="containsText" text="Pesquisa de Preços">
      <formula>NOT(ISERROR(SEARCH("Pesquisa de Preços",D1066)))</formula>
    </cfRule>
  </conditionalFormatting>
  <conditionalFormatting sqref="D1114:D1115">
    <cfRule type="containsText" dxfId="1372" priority="1317" operator="containsText" text="Pesquisa de Preços">
      <formula>NOT(ISERROR(SEARCH("Pesquisa de Preços",D1114)))</formula>
    </cfRule>
  </conditionalFormatting>
  <conditionalFormatting sqref="D1109:D1110">
    <cfRule type="containsText" dxfId="1371" priority="1316" operator="containsText" text="Pesquisa de Preços">
      <formula>NOT(ISERROR(SEARCH("Pesquisa de Preços",D1109)))</formula>
    </cfRule>
  </conditionalFormatting>
  <conditionalFormatting sqref="D1235:D1236 D1240">
    <cfRule type="containsText" dxfId="1370" priority="1315" operator="containsText" text="Pesquisa de Preços">
      <formula>NOT(ISERROR(SEARCH("Pesquisa de Preços",D1235)))</formula>
    </cfRule>
  </conditionalFormatting>
  <conditionalFormatting sqref="D1228:D1229 D1233">
    <cfRule type="containsText" dxfId="1369" priority="1314" operator="containsText" text="Pesquisa de Preços">
      <formula>NOT(ISERROR(SEARCH("Pesquisa de Preços",D1228)))</formula>
    </cfRule>
  </conditionalFormatting>
  <conditionalFormatting sqref="D1221:D1222 D1226">
    <cfRule type="containsText" dxfId="1368" priority="1313" operator="containsText" text="Pesquisa de Preços">
      <formula>NOT(ISERROR(SEARCH("Pesquisa de Preços",D1221)))</formula>
    </cfRule>
  </conditionalFormatting>
  <conditionalFormatting sqref="D1214:D1215 D1219">
    <cfRule type="containsText" dxfId="1367" priority="1312" operator="containsText" text="Pesquisa de Preços">
      <formula>NOT(ISERROR(SEARCH("Pesquisa de Preços",D1214)))</formula>
    </cfRule>
  </conditionalFormatting>
  <conditionalFormatting sqref="D1130:D1131 D1134:D1135">
    <cfRule type="containsText" dxfId="1366" priority="1311" operator="containsText" text="Pesquisa de Preços">
      <formula>NOT(ISERROR(SEARCH("Pesquisa de Preços",D1130)))</formula>
    </cfRule>
  </conditionalFormatting>
  <conditionalFormatting sqref="D1119:D1120 D1122:D1123">
    <cfRule type="containsText" dxfId="1365" priority="1310" operator="containsText" text="Pesquisa de Preços">
      <formula>NOT(ISERROR(SEARCH("Pesquisa de Preços",D1119)))</formula>
    </cfRule>
  </conditionalFormatting>
  <conditionalFormatting sqref="D1256 D1261">
    <cfRule type="containsText" dxfId="1364" priority="1309" operator="containsText" text="Pesquisa de Preços">
      <formula>NOT(ISERROR(SEARCH("Pesquisa de Preços",D1256)))</formula>
    </cfRule>
  </conditionalFormatting>
  <conditionalFormatting sqref="D1242:D1243 D1246:D1247">
    <cfRule type="containsText" dxfId="1363" priority="1308" operator="containsText" text="Pesquisa de Preços">
      <formula>NOT(ISERROR(SEARCH("Pesquisa de Preços",D1242)))</formula>
    </cfRule>
  </conditionalFormatting>
  <conditionalFormatting sqref="D1144:D1145 D1148:D1149">
    <cfRule type="containsText" dxfId="1362" priority="1307" operator="containsText" text="Pesquisa de Preços">
      <formula>NOT(ISERROR(SEARCH("Pesquisa de Preços",D1144)))</formula>
    </cfRule>
  </conditionalFormatting>
  <conditionalFormatting sqref="D1179:D1180 D1183:D1184">
    <cfRule type="containsText" dxfId="1361" priority="1306" operator="containsText" text="Pesquisa de Preços">
      <formula>NOT(ISERROR(SEARCH("Pesquisa de Preços",D1179)))</formula>
    </cfRule>
  </conditionalFormatting>
  <conditionalFormatting sqref="D1186:D1187 D1190:D1191">
    <cfRule type="containsText" dxfId="1360" priority="1305" operator="containsText" text="Pesquisa de Preços">
      <formula>NOT(ISERROR(SEARCH("Pesquisa de Preços",D1186)))</formula>
    </cfRule>
  </conditionalFormatting>
  <conditionalFormatting sqref="D1193:D1194 D1197:D1198">
    <cfRule type="containsText" dxfId="1359" priority="1304" operator="containsText" text="Pesquisa de Preços">
      <formula>NOT(ISERROR(SEARCH("Pesquisa de Preços",D1193)))</formula>
    </cfRule>
  </conditionalFormatting>
  <conditionalFormatting sqref="D1172:D1173 D1176:D1177">
    <cfRule type="containsText" dxfId="1358" priority="1303" operator="containsText" text="Pesquisa de Preços">
      <formula>NOT(ISERROR(SEARCH("Pesquisa de Preços",D1172)))</formula>
    </cfRule>
  </conditionalFormatting>
  <conditionalFormatting sqref="D1137:D1138 D1142">
    <cfRule type="containsText" dxfId="1357" priority="1302" operator="containsText" text="Pesquisa de Preços">
      <formula>NOT(ISERROR(SEARCH("Pesquisa de Preços",D1137)))</formula>
    </cfRule>
  </conditionalFormatting>
  <conditionalFormatting sqref="D1140">
    <cfRule type="containsText" dxfId="1356" priority="1301" operator="containsText" text="Pesquisa de Preços">
      <formula>NOT(ISERROR(SEARCH("Pesquisa de Preços",D1140)))</formula>
    </cfRule>
  </conditionalFormatting>
  <conditionalFormatting sqref="D1158:D1159 D1162:D1163">
    <cfRule type="containsText" dxfId="1355" priority="1300" operator="containsText" text="Pesquisa de Preços">
      <formula>NOT(ISERROR(SEARCH("Pesquisa de Preços",D1158)))</formula>
    </cfRule>
  </conditionalFormatting>
  <conditionalFormatting sqref="D1165 D1170">
    <cfRule type="containsText" dxfId="1354" priority="1299" operator="containsText" text="Pesquisa de Preços">
      <formula>NOT(ISERROR(SEARCH("Pesquisa de Preços",D1165)))</formula>
    </cfRule>
  </conditionalFormatting>
  <conditionalFormatting sqref="D1200:D1201 D1205">
    <cfRule type="containsText" dxfId="1353" priority="1298" operator="containsText" text="Pesquisa de Preços">
      <formula>NOT(ISERROR(SEARCH("Pesquisa de Preços",D1200)))</formula>
    </cfRule>
  </conditionalFormatting>
  <conditionalFormatting sqref="D1125">
    <cfRule type="containsText" dxfId="1352" priority="1297" operator="containsText" text="Pesquisa de Preços">
      <formula>NOT(ISERROR(SEARCH("Pesquisa de Preços",D1125)))</formula>
    </cfRule>
  </conditionalFormatting>
  <conditionalFormatting sqref="D1263:D1264 D1266:D1267">
    <cfRule type="containsText" dxfId="1351" priority="1296" operator="containsText" text="Pesquisa de Preços">
      <formula>NOT(ISERROR(SEARCH("Pesquisa de Preços",D1263)))</formula>
    </cfRule>
  </conditionalFormatting>
  <conditionalFormatting sqref="D1265">
    <cfRule type="containsText" dxfId="1350" priority="1295" operator="containsText" text="Pesquisa de Preços">
      <formula>NOT(ISERROR(SEARCH("Pesquisa de Preços",D1265)))</formula>
    </cfRule>
  </conditionalFormatting>
  <conditionalFormatting sqref="D1297:D1298 D1302:D1303">
    <cfRule type="containsText" dxfId="1349" priority="1294" operator="containsText" text="Pesquisa de Preços">
      <formula>NOT(ISERROR(SEARCH("Pesquisa de Preços",D1297)))</formula>
    </cfRule>
  </conditionalFormatting>
  <conditionalFormatting sqref="D1299:D1300">
    <cfRule type="containsText" dxfId="1348" priority="1293" operator="containsText" text="Pesquisa de Preços">
      <formula>NOT(ISERROR(SEARCH("Pesquisa de Preços",D1299)))</formula>
    </cfRule>
  </conditionalFormatting>
  <conditionalFormatting sqref="D1305 D1311:D1312">
    <cfRule type="containsText" dxfId="1347" priority="1292" operator="containsText" text="Pesquisa de Preços">
      <formula>NOT(ISERROR(SEARCH("Pesquisa de Preços",D1305)))</formula>
    </cfRule>
  </conditionalFormatting>
  <conditionalFormatting sqref="D1390:D1391 D1394:D1395">
    <cfRule type="containsText" dxfId="1346" priority="1276" operator="containsText" text="Pesquisa de Preços">
      <formula>NOT(ISERROR(SEARCH("Pesquisa de Preços",D1390)))</formula>
    </cfRule>
  </conditionalFormatting>
  <conditionalFormatting sqref="D1269:D1270">
    <cfRule type="containsText" dxfId="1345" priority="1291" operator="containsText" text="Pesquisa de Preços">
      <formula>NOT(ISERROR(SEARCH("Pesquisa de Preços",D1269)))</formula>
    </cfRule>
  </conditionalFormatting>
  <conditionalFormatting sqref="D1271:D1273">
    <cfRule type="containsText" dxfId="1344" priority="1290" operator="containsText" text="Pesquisa de Preços">
      <formula>NOT(ISERROR(SEARCH("Pesquisa de Preços",D1271)))</formula>
    </cfRule>
  </conditionalFormatting>
  <conditionalFormatting sqref="D1276:D1277 D1281">
    <cfRule type="containsText" dxfId="1343" priority="1289" operator="containsText" text="Pesquisa de Preços">
      <formula>NOT(ISERROR(SEARCH("Pesquisa de Preços",D1276)))</formula>
    </cfRule>
  </conditionalFormatting>
  <conditionalFormatting sqref="D1283:D1284 D1288">
    <cfRule type="containsText" dxfId="1342" priority="1288" operator="containsText" text="Pesquisa de Preços">
      <formula>NOT(ISERROR(SEARCH("Pesquisa de Preços",D1283)))</formula>
    </cfRule>
  </conditionalFormatting>
  <conditionalFormatting sqref="D1290 D1293 D1295">
    <cfRule type="containsText" dxfId="1341" priority="1287" operator="containsText" text="Pesquisa de Preços">
      <formula>NOT(ISERROR(SEARCH("Pesquisa de Preços",D1290)))</formula>
    </cfRule>
  </conditionalFormatting>
  <conditionalFormatting sqref="D1368">
    <cfRule type="containsText" dxfId="1340" priority="1269" operator="containsText" text="Pesquisa de Preços">
      <formula>NOT(ISERROR(SEARCH("Pesquisa de Preços",D1368)))</formula>
    </cfRule>
  </conditionalFormatting>
  <conditionalFormatting sqref="D1324:D1325">
    <cfRule type="containsText" dxfId="1339" priority="1285" operator="containsText" text="Pesquisa de Preços">
      <formula>NOT(ISERROR(SEARCH("Pesquisa de Preços",D1324)))</formula>
    </cfRule>
  </conditionalFormatting>
  <conditionalFormatting sqref="D1329:D1330">
    <cfRule type="containsText" dxfId="1338" priority="1286" operator="containsText" text="Pesquisa de Preços">
      <formula>NOT(ISERROR(SEARCH("Pesquisa de Preços",D1329)))</formula>
    </cfRule>
  </conditionalFormatting>
  <conditionalFormatting sqref="D1314:D1315">
    <cfRule type="containsText" dxfId="1337" priority="1283" operator="containsText" text="Pesquisa de Preços">
      <formula>NOT(ISERROR(SEARCH("Pesquisa de Preços",D1314)))</formula>
    </cfRule>
  </conditionalFormatting>
  <conditionalFormatting sqref="D1319:D1320">
    <cfRule type="containsText" dxfId="1336" priority="1284" operator="containsText" text="Pesquisa de Preços">
      <formula>NOT(ISERROR(SEARCH("Pesquisa de Preços",D1319)))</formula>
    </cfRule>
  </conditionalFormatting>
  <conditionalFormatting sqref="D1334:D1335 D1338:D1339">
    <cfRule type="containsText" dxfId="1335" priority="1282" operator="containsText" text="Pesquisa de Preços">
      <formula>NOT(ISERROR(SEARCH("Pesquisa de Preços",D1334)))</formula>
    </cfRule>
  </conditionalFormatting>
  <conditionalFormatting sqref="D1508">
    <cfRule type="containsText" dxfId="1334" priority="1261" operator="containsText" text="Pesquisa de Preços">
      <formula>NOT(ISERROR(SEARCH("Pesquisa de Preços",D1508)))</formula>
    </cfRule>
  </conditionalFormatting>
  <conditionalFormatting sqref="D1336:D1337">
    <cfRule type="containsText" dxfId="1333" priority="1281" operator="containsText" text="Pesquisa de Preços">
      <formula>NOT(ISERROR(SEARCH("Pesquisa de Preços",D1336)))</formula>
    </cfRule>
  </conditionalFormatting>
  <conditionalFormatting sqref="D1347:D1348 D1351:D1352">
    <cfRule type="containsText" dxfId="1332" priority="1280" operator="containsText" text="Pesquisa de Preços">
      <formula>NOT(ISERROR(SEARCH("Pesquisa de Preços",D1347)))</formula>
    </cfRule>
  </conditionalFormatting>
  <conditionalFormatting sqref="D1516">
    <cfRule type="containsText" dxfId="1331" priority="1262" operator="containsText" text="Pesquisa de Preços">
      <formula>NOT(ISERROR(SEARCH("Pesquisa de Preços",D1516)))</formula>
    </cfRule>
  </conditionalFormatting>
  <conditionalFormatting sqref="D1349:D1350">
    <cfRule type="containsText" dxfId="1330" priority="1279" operator="containsText" text="Pesquisa de Preços">
      <formula>NOT(ISERROR(SEARCH("Pesquisa de Preços",D1349)))</formula>
    </cfRule>
  </conditionalFormatting>
  <conditionalFormatting sqref="D1341 D1344:D1345">
    <cfRule type="containsText" dxfId="1329" priority="1278" operator="containsText" text="Pesquisa de Preços">
      <formula>NOT(ISERROR(SEARCH("Pesquisa de Preços",D1341)))</formula>
    </cfRule>
  </conditionalFormatting>
  <conditionalFormatting sqref="D1354 D1357:D1358">
    <cfRule type="containsText" dxfId="1328" priority="1277" operator="containsText" text="Pesquisa de Preços">
      <formula>NOT(ISERROR(SEARCH("Pesquisa de Preços",D1354)))</formula>
    </cfRule>
  </conditionalFormatting>
  <conditionalFormatting sqref="D1392:D1393">
    <cfRule type="containsText" dxfId="1327" priority="1275" operator="containsText" text="Pesquisa de Preços">
      <formula>NOT(ISERROR(SEARCH("Pesquisa de Preços",D1392)))</formula>
    </cfRule>
  </conditionalFormatting>
  <conditionalFormatting sqref="D1381:D1382 D1378:D1379">
    <cfRule type="containsText" dxfId="1326" priority="1274" operator="containsText" text="Pesquisa de Preços">
      <formula>NOT(ISERROR(SEARCH("Pesquisa de Preços",D1378)))</formula>
    </cfRule>
  </conditionalFormatting>
  <conditionalFormatting sqref="D1380">
    <cfRule type="containsText" dxfId="1325" priority="1273" operator="containsText" text="Pesquisa de Preços">
      <formula>NOT(ISERROR(SEARCH("Pesquisa de Preços",D1380)))</formula>
    </cfRule>
  </conditionalFormatting>
  <conditionalFormatting sqref="D1360:D1361 D1363:D1364">
    <cfRule type="containsText" dxfId="1324" priority="1272" operator="containsText" text="Pesquisa de Preços">
      <formula>NOT(ISERROR(SEARCH("Pesquisa de Preços",D1360)))</formula>
    </cfRule>
  </conditionalFormatting>
  <conditionalFormatting sqref="D1362">
    <cfRule type="containsText" dxfId="1323" priority="1271" operator="containsText" text="Pesquisa de Preços">
      <formula>NOT(ISERROR(SEARCH("Pesquisa de Preços",D1362)))</formula>
    </cfRule>
  </conditionalFormatting>
  <conditionalFormatting sqref="D1366:D1367 D1369:D1370">
    <cfRule type="containsText" dxfId="1322" priority="1270" operator="containsText" text="Pesquisa de Preços">
      <formula>NOT(ISERROR(SEARCH("Pesquisa de Preços",D1366)))</formula>
    </cfRule>
  </conditionalFormatting>
  <conditionalFormatting sqref="D1372 D1375:D1376">
    <cfRule type="containsText" dxfId="1321" priority="1268" operator="containsText" text="Pesquisa de Preços">
      <formula>NOT(ISERROR(SEARCH("Pesquisa de Preços",D1372)))</formula>
    </cfRule>
  </conditionalFormatting>
  <conditionalFormatting sqref="D1397 D1410">
    <cfRule type="containsText" dxfId="1320" priority="1254" operator="containsText" text="Pesquisa de Preços">
      <formula>NOT(ISERROR(SEARCH("Pesquisa de Preços",D1397)))</formula>
    </cfRule>
  </conditionalFormatting>
  <conditionalFormatting sqref="D1549:D1550">
    <cfRule type="containsText" dxfId="1319" priority="1267" operator="containsText" text="Pesquisa de Preços">
      <formula>NOT(ISERROR(SEARCH("Pesquisa de Preços",D1549)))</formula>
    </cfRule>
  </conditionalFormatting>
  <conditionalFormatting sqref="D1551 D1553">
    <cfRule type="containsText" dxfId="1318" priority="1266" operator="containsText" text="Pesquisa de Preços">
      <formula>NOT(ISERROR(SEARCH("Pesquisa de Preços",D1551)))</formula>
    </cfRule>
  </conditionalFormatting>
  <conditionalFormatting sqref="D1542:D1543">
    <cfRule type="containsText" dxfId="1317" priority="1265" operator="containsText" text="Pesquisa de Preços">
      <formula>NOT(ISERROR(SEARCH("Pesquisa de Preços",D1542)))</formula>
    </cfRule>
  </conditionalFormatting>
  <conditionalFormatting sqref="D1534 D1540">
    <cfRule type="containsText" dxfId="1316" priority="1264" operator="containsText" text="Pesquisa de Preços">
      <formula>NOT(ISERROR(SEARCH("Pesquisa de Preços",D1534)))</formula>
    </cfRule>
  </conditionalFormatting>
  <conditionalFormatting sqref="D1518">
    <cfRule type="containsText" dxfId="1315" priority="1263" operator="containsText" text="Pesquisa de Preços">
      <formula>NOT(ISERROR(SEARCH("Pesquisa de Preços",D1518)))</formula>
    </cfRule>
  </conditionalFormatting>
  <conditionalFormatting sqref="D1556:D1557 D1560:D1561">
    <cfRule type="containsText" dxfId="1314" priority="1257" operator="containsText" text="Pesquisa de Preços">
      <formula>NOT(ISERROR(SEARCH("Pesquisa de Preços",D1556)))</formula>
    </cfRule>
  </conditionalFormatting>
  <conditionalFormatting sqref="D1485">
    <cfRule type="containsText" dxfId="1313" priority="1249" operator="containsText" text="Pesquisa de Preços">
      <formula>NOT(ISERROR(SEARCH("Pesquisa de Preços",D1485)))</formula>
    </cfRule>
  </conditionalFormatting>
  <conditionalFormatting sqref="D1487 D1500">
    <cfRule type="containsText" dxfId="1312" priority="1255" operator="containsText" text="Pesquisa de Preços">
      <formula>NOT(ISERROR(SEARCH("Pesquisa de Preços",D1487)))</formula>
    </cfRule>
  </conditionalFormatting>
  <conditionalFormatting sqref="D1532">
    <cfRule type="containsText" dxfId="1311" priority="1260" operator="containsText" text="Pesquisa de Preços">
      <formula>NOT(ISERROR(SEARCH("Pesquisa de Preços",D1532)))</formula>
    </cfRule>
  </conditionalFormatting>
  <conditionalFormatting sqref="D1563:D1564 D1567:D1568">
    <cfRule type="containsText" dxfId="1310" priority="1259" operator="containsText" text="Pesquisa de Preços">
      <formula>NOT(ISERROR(SEARCH("Pesquisa de Preços",D1563)))</formula>
    </cfRule>
  </conditionalFormatting>
  <conditionalFormatting sqref="D1566">
    <cfRule type="containsText" dxfId="1309" priority="1258" operator="containsText" text="Pesquisa de Preços">
      <formula>NOT(ISERROR(SEARCH("Pesquisa de Preços",D1566)))</formula>
    </cfRule>
  </conditionalFormatting>
  <conditionalFormatting sqref="D1558:D1559">
    <cfRule type="containsText" dxfId="1308" priority="1256" operator="containsText" text="Pesquisa de Preços">
      <formula>NOT(ISERROR(SEARCH("Pesquisa de Preços",D1558)))</formula>
    </cfRule>
  </conditionalFormatting>
  <conditionalFormatting sqref="D1603 D1607:D1608">
    <cfRule type="containsText" dxfId="1307" priority="1232" operator="containsText" text="Pesquisa de Preços">
      <formula>NOT(ISERROR(SEARCH("Pesquisa de Preços",D1603)))</formula>
    </cfRule>
  </conditionalFormatting>
  <conditionalFormatting sqref="D1427 D1440">
    <cfRule type="containsText" dxfId="1306" priority="1253" operator="containsText" text="Pesquisa de Preços">
      <formula>NOT(ISERROR(SEARCH("Pesquisa de Preços",D1427)))</formula>
    </cfRule>
  </conditionalFormatting>
  <conditionalFormatting sqref="D1621 D1625">
    <cfRule type="containsText" dxfId="1305" priority="1238" operator="containsText" text="Pesquisa de Preços">
      <formula>NOT(ISERROR(SEARCH("Pesquisa de Preços",D1621)))</formula>
    </cfRule>
  </conditionalFormatting>
  <conditionalFormatting sqref="D1412 D1425">
    <cfRule type="containsText" dxfId="1304" priority="1252" operator="containsText" text="Pesquisa de Preços">
      <formula>NOT(ISERROR(SEARCH("Pesquisa de Preços",D1412)))</formula>
    </cfRule>
  </conditionalFormatting>
  <conditionalFormatting sqref="D1457 D1470">
    <cfRule type="containsText" dxfId="1303" priority="1251" operator="containsText" text="Pesquisa de Preços">
      <formula>NOT(ISERROR(SEARCH("Pesquisa de Preços",D1457)))</formula>
    </cfRule>
  </conditionalFormatting>
  <conditionalFormatting sqref="D1684 D1687:D1689">
    <cfRule type="containsText" dxfId="1302" priority="1239" operator="containsText" text="Pesquisa de Preços">
      <formula>NOT(ISERROR(SEARCH("Pesquisa de Preços",D1684)))</formula>
    </cfRule>
  </conditionalFormatting>
  <conditionalFormatting sqref="D1455">
    <cfRule type="containsText" dxfId="1301" priority="1250" operator="containsText" text="Pesquisa de Preços">
      <formula>NOT(ISERROR(SEARCH("Pesquisa de Preços",D1455)))</formula>
    </cfRule>
  </conditionalFormatting>
  <conditionalFormatting sqref="D1585 D1589">
    <cfRule type="containsText" dxfId="1300" priority="1244" operator="containsText" text="Pesquisa de Preços">
      <formula>NOT(ISERROR(SEARCH("Pesquisa de Preços",D1585)))</formula>
    </cfRule>
  </conditionalFormatting>
  <conditionalFormatting sqref="D1570:D1571 D1582:D1583">
    <cfRule type="containsText" dxfId="1299" priority="1248" operator="containsText" text="Pesquisa de Preços">
      <formula>NOT(ISERROR(SEARCH("Pesquisa de Preços",D1570)))</formula>
    </cfRule>
  </conditionalFormatting>
  <conditionalFormatting sqref="D1572:D1579 D1581">
    <cfRule type="containsText" dxfId="1298" priority="1247" operator="containsText" text="Pesquisa de Preços">
      <formula>NOT(ISERROR(SEARCH("Pesquisa de Preços",D1572)))</formula>
    </cfRule>
  </conditionalFormatting>
  <conditionalFormatting sqref="D1384:D1385 D1387:D1388">
    <cfRule type="containsText" dxfId="1297" priority="1246" operator="containsText" text="Pesquisa de Preços">
      <formula>NOT(ISERROR(SEARCH("Pesquisa de Preços",D1384)))</formula>
    </cfRule>
  </conditionalFormatting>
  <conditionalFormatting sqref="D1386">
    <cfRule type="containsText" dxfId="1296" priority="1245" operator="containsText" text="Pesquisa de Preços">
      <formula>NOT(ISERROR(SEARCH("Pesquisa de Preços",D1386)))</formula>
    </cfRule>
  </conditionalFormatting>
  <conditionalFormatting sqref="D1627 D1629:D1630">
    <cfRule type="containsText" dxfId="1295" priority="1235" operator="containsText" text="Pesquisa de Preços">
      <formula>NOT(ISERROR(SEARCH("Pesquisa de Preços",D1627)))</formula>
    </cfRule>
  </conditionalFormatting>
  <conditionalFormatting sqref="D1591 D1595">
    <cfRule type="containsText" dxfId="1294" priority="1243" operator="containsText" text="Pesquisa de Preços">
      <formula>NOT(ISERROR(SEARCH("Pesquisa de Preços",D1591)))</formula>
    </cfRule>
  </conditionalFormatting>
  <conditionalFormatting sqref="D1601">
    <cfRule type="containsText" dxfId="1293" priority="1242" operator="containsText" text="Pesquisa de Preços">
      <formula>NOT(ISERROR(SEARCH("Pesquisa de Preços",D1601)))</formula>
    </cfRule>
  </conditionalFormatting>
  <conditionalFormatting sqref="D1638:D1639">
    <cfRule type="containsText" dxfId="1292" priority="1241" operator="containsText" text="Pesquisa de Preços">
      <formula>NOT(ISERROR(SEARCH("Pesquisa de Preços",D1638)))</formula>
    </cfRule>
  </conditionalFormatting>
  <conditionalFormatting sqref="D1640:D1641">
    <cfRule type="containsText" dxfId="1291" priority="1240" operator="containsText" text="Pesquisa de Preços">
      <formula>NOT(ISERROR(SEARCH("Pesquisa de Preços",D1640)))</formula>
    </cfRule>
  </conditionalFormatting>
  <conditionalFormatting sqref="D1615 D1619">
    <cfRule type="containsText" dxfId="1290" priority="1237" operator="containsText" text="Pesquisa de Preços">
      <formula>NOT(ISERROR(SEARCH("Pesquisa de Preços",D1615)))</formula>
    </cfRule>
  </conditionalFormatting>
  <conditionalFormatting sqref="D1610 D1612:D1613">
    <cfRule type="containsText" dxfId="1289" priority="1236" operator="containsText" text="Pesquisa de Preços">
      <formula>NOT(ISERROR(SEARCH("Pesquisa de Preços",D1610)))</formula>
    </cfRule>
  </conditionalFormatting>
  <conditionalFormatting sqref="D1632 D1635:D1636">
    <cfRule type="containsText" dxfId="1288" priority="1234" operator="containsText" text="Pesquisa de Preços">
      <formula>NOT(ISERROR(SEARCH("Pesquisa de Preços",D1632)))</formula>
    </cfRule>
  </conditionalFormatting>
  <conditionalFormatting sqref="D1735:D1736 D1727:D1729">
    <cfRule type="containsText" dxfId="1287" priority="1226" operator="containsText" text="Pesquisa de Preços">
      <formula>NOT(ISERROR(SEARCH("Pesquisa de Preços",D1727)))</formula>
    </cfRule>
  </conditionalFormatting>
  <conditionalFormatting sqref="D1677 D1681:D1682">
    <cfRule type="containsText" dxfId="1286" priority="1233" operator="containsText" text="Pesquisa de Preços">
      <formula>NOT(ISERROR(SEARCH("Pesquisa de Preços",D1677)))</formula>
    </cfRule>
  </conditionalFormatting>
  <conditionalFormatting sqref="D1671 D1674:D1675">
    <cfRule type="containsText" dxfId="1285" priority="1231" operator="containsText" text="Pesquisa de Preços">
      <formula>NOT(ISERROR(SEARCH("Pesquisa de Preços",D1671)))</formula>
    </cfRule>
  </conditionalFormatting>
  <conditionalFormatting sqref="D1666 D1668:D1669">
    <cfRule type="containsText" dxfId="1284" priority="1230" operator="containsText" text="Pesquisa de Preços">
      <formula>NOT(ISERROR(SEARCH("Pesquisa de Preços",D1666)))</formula>
    </cfRule>
  </conditionalFormatting>
  <conditionalFormatting sqref="D1716:D1717 D1724:D1725">
    <cfRule type="containsText" dxfId="1283" priority="1223" operator="containsText" text="Pesquisa de Preços">
      <formula>NOT(ISERROR(SEARCH("Pesquisa de Preços",D1716)))</formula>
    </cfRule>
  </conditionalFormatting>
  <conditionalFormatting sqref="D1661">
    <cfRule type="containsText" dxfId="1282" priority="1228" operator="containsText" text="Pesquisa de Preços">
      <formula>NOT(ISERROR(SEARCH("Pesquisa de Preços",D1661)))</formula>
    </cfRule>
  </conditionalFormatting>
  <conditionalFormatting sqref="D1656">
    <cfRule type="containsText" dxfId="1281" priority="1229" operator="containsText" text="Pesquisa de Preços">
      <formula>NOT(ISERROR(SEARCH("Pesquisa de Preços",D1656)))</formula>
    </cfRule>
  </conditionalFormatting>
  <conditionalFormatting sqref="D1650 D1653:D1654">
    <cfRule type="containsText" dxfId="1280" priority="1227" operator="containsText" text="Pesquisa de Preços">
      <formula>NOT(ISERROR(SEARCH("Pesquisa de Preços",D1650)))</formula>
    </cfRule>
  </conditionalFormatting>
  <conditionalFormatting sqref="D1746:D1747 D1738:D1739">
    <cfRule type="containsText" dxfId="1279" priority="1225" operator="containsText" text="Pesquisa de Preços">
      <formula>NOT(ISERROR(SEARCH("Pesquisa de Preços",D1738)))</formula>
    </cfRule>
  </conditionalFormatting>
  <conditionalFormatting sqref="D1705:D1706 D1714">
    <cfRule type="containsText" dxfId="1278" priority="1224" operator="containsText" text="Pesquisa de Preços">
      <formula>NOT(ISERROR(SEARCH("Pesquisa de Preços",D1705)))</formula>
    </cfRule>
  </conditionalFormatting>
  <conditionalFormatting sqref="D1691:D1692 D1694:D1695">
    <cfRule type="containsText" dxfId="1277" priority="1222" operator="containsText" text="Pesquisa de Preços">
      <formula>NOT(ISERROR(SEARCH("Pesquisa de Preços",D1691)))</formula>
    </cfRule>
  </conditionalFormatting>
  <conditionalFormatting sqref="D1697">
    <cfRule type="containsText" dxfId="1276" priority="1221" operator="containsText" text="Pesquisa de Preços">
      <formula>NOT(ISERROR(SEARCH("Pesquisa de Preços",D1697)))</formula>
    </cfRule>
  </conditionalFormatting>
  <conditionalFormatting sqref="D1700:D1701">
    <cfRule type="containsText" dxfId="1275" priority="1220" operator="containsText" text="Pesquisa de Preços">
      <formula>NOT(ISERROR(SEARCH("Pesquisa de Preços",D1700)))</formula>
    </cfRule>
  </conditionalFormatting>
  <conditionalFormatting sqref="D1809">
    <cfRule type="containsText" dxfId="1274" priority="1219" operator="containsText" text="Pesquisa de Preços">
      <formula>NOT(ISERROR(SEARCH("Pesquisa de Preços",D1809)))</formula>
    </cfRule>
  </conditionalFormatting>
  <conditionalFormatting sqref="D1835">
    <cfRule type="containsText" dxfId="1273" priority="1213" operator="containsText" text="Pesquisa de Preços">
      <formula>NOT(ISERROR(SEARCH("Pesquisa de Preços",D1835)))</formula>
    </cfRule>
  </conditionalFormatting>
  <conditionalFormatting sqref="D1804">
    <cfRule type="containsText" dxfId="1272" priority="1218" operator="containsText" text="Pesquisa de Preços">
      <formula>NOT(ISERROR(SEARCH("Pesquisa de Preços",D1804)))</formula>
    </cfRule>
  </conditionalFormatting>
  <conditionalFormatting sqref="D1814 D1817:D1818">
    <cfRule type="containsText" dxfId="1271" priority="1217" operator="containsText" text="Pesquisa de Preços">
      <formula>NOT(ISERROR(SEARCH("Pesquisa de Preços",D1814)))</formula>
    </cfRule>
  </conditionalFormatting>
  <conditionalFormatting sqref="D1816">
    <cfRule type="containsText" dxfId="1270" priority="1216" operator="containsText" text="Pesquisa de Preços">
      <formula>NOT(ISERROR(SEARCH("Pesquisa de Preços",D1816)))</formula>
    </cfRule>
  </conditionalFormatting>
  <conditionalFormatting sqref="D1820 D1823:D1824">
    <cfRule type="containsText" dxfId="1269" priority="1215" operator="containsText" text="Pesquisa de Preços">
      <formula>NOT(ISERROR(SEARCH("Pesquisa de Preços",D1820)))</formula>
    </cfRule>
  </conditionalFormatting>
  <conditionalFormatting sqref="D1833:D1834 D1836:D1837">
    <cfRule type="containsText" dxfId="1268" priority="1214" operator="containsText" text="Pesquisa de Preços">
      <formula>NOT(ISERROR(SEARCH("Pesquisa de Preços",D1833)))</formula>
    </cfRule>
  </conditionalFormatting>
  <conditionalFormatting sqref="D1839:D1840 D1842:D1843">
    <cfRule type="containsText" dxfId="1267" priority="1212" operator="containsText" text="Pesquisa de Preços">
      <formula>NOT(ISERROR(SEARCH("Pesquisa de Preços",D1839)))</formula>
    </cfRule>
  </conditionalFormatting>
  <conditionalFormatting sqref="D1847">
    <cfRule type="containsText" dxfId="1266" priority="1208" operator="containsText" text="Pesquisa de Preços">
      <formula>NOT(ISERROR(SEARCH("Pesquisa de Preços",D1847)))</formula>
    </cfRule>
  </conditionalFormatting>
  <conditionalFormatting sqref="D1841">
    <cfRule type="containsText" dxfId="1265" priority="1211" operator="containsText" text="Pesquisa de Preços">
      <formula>NOT(ISERROR(SEARCH("Pesquisa de Preços",D1841)))</formula>
    </cfRule>
  </conditionalFormatting>
  <conditionalFormatting sqref="D1826:D1827 D1831">
    <cfRule type="containsText" dxfId="1264" priority="1210" operator="containsText" text="Pesquisa de Preços">
      <formula>NOT(ISERROR(SEARCH("Pesquisa de Preços",D1826)))</formula>
    </cfRule>
  </conditionalFormatting>
  <conditionalFormatting sqref="D1889">
    <cfRule type="containsText" dxfId="1263" priority="1205" operator="containsText" text="Pesquisa de Preços">
      <formula>NOT(ISERROR(SEARCH("Pesquisa de Preços",D1889)))</formula>
    </cfRule>
  </conditionalFormatting>
  <conditionalFormatting sqref="D1845:D1846 D1848:D1849">
    <cfRule type="containsText" dxfId="1262" priority="1209" operator="containsText" text="Pesquisa de Preços">
      <formula>NOT(ISERROR(SEARCH("Pesquisa de Preços",D1845)))</formula>
    </cfRule>
  </conditionalFormatting>
  <conditionalFormatting sqref="D1851 D1855">
    <cfRule type="containsText" dxfId="1261" priority="1207" operator="containsText" text="Pesquisa de Preços">
      <formula>NOT(ISERROR(SEARCH("Pesquisa de Preços",D1851)))</formula>
    </cfRule>
  </conditionalFormatting>
  <conditionalFormatting sqref="D1887:D1888 D1890:D1891">
    <cfRule type="containsText" dxfId="1260" priority="1206" operator="containsText" text="Pesquisa de Preços">
      <formula>NOT(ISERROR(SEARCH("Pesquisa de Preços",D1887)))</formula>
    </cfRule>
  </conditionalFormatting>
  <conditionalFormatting sqref="D1863:D1864 D1866:D1867">
    <cfRule type="containsText" dxfId="1259" priority="1204" operator="containsText" text="Pesquisa de Preços">
      <formula>NOT(ISERROR(SEARCH("Pesquisa de Preços",D1863)))</formula>
    </cfRule>
  </conditionalFormatting>
  <conditionalFormatting sqref="D1865">
    <cfRule type="containsText" dxfId="1258" priority="1203" operator="containsText" text="Pesquisa de Preços">
      <formula>NOT(ISERROR(SEARCH("Pesquisa de Preços",D1865)))</formula>
    </cfRule>
  </conditionalFormatting>
  <conditionalFormatting sqref="D1881 D1885">
    <cfRule type="containsText" dxfId="1257" priority="1202" operator="containsText" text="Pesquisa de Preços">
      <formula>NOT(ISERROR(SEARCH("Pesquisa de Preços",D1881)))</formula>
    </cfRule>
  </conditionalFormatting>
  <conditionalFormatting sqref="D1857:D1858 D1860:D1861">
    <cfRule type="containsText" dxfId="1256" priority="1201" operator="containsText" text="Pesquisa de Preços">
      <formula>NOT(ISERROR(SEARCH("Pesquisa de Preços",D1857)))</formula>
    </cfRule>
  </conditionalFormatting>
  <conditionalFormatting sqref="D1859">
    <cfRule type="containsText" dxfId="1255" priority="1200" operator="containsText" text="Pesquisa de Preços">
      <formula>NOT(ISERROR(SEARCH("Pesquisa de Preços",D1859)))</formula>
    </cfRule>
  </conditionalFormatting>
  <conditionalFormatting sqref="D1869:D1870 D1872:D1873">
    <cfRule type="containsText" dxfId="1254" priority="1199" operator="containsText" text="Pesquisa de Preços">
      <formula>NOT(ISERROR(SEARCH("Pesquisa de Preços",D1869)))</formula>
    </cfRule>
  </conditionalFormatting>
  <conditionalFormatting sqref="D1895">
    <cfRule type="containsText" dxfId="1253" priority="1195" operator="containsText" text="Pesquisa de Preços">
      <formula>NOT(ISERROR(SEARCH("Pesquisa de Preços",D1895)))</formula>
    </cfRule>
  </conditionalFormatting>
  <conditionalFormatting sqref="D1871">
    <cfRule type="containsText" dxfId="1252" priority="1198" operator="containsText" text="Pesquisa de Preços">
      <formula>NOT(ISERROR(SEARCH("Pesquisa de Preços",D1871)))</formula>
    </cfRule>
  </conditionalFormatting>
  <conditionalFormatting sqref="D1875 D1879">
    <cfRule type="containsText" dxfId="1251" priority="1197" operator="containsText" text="Pesquisa de Preços">
      <formula>NOT(ISERROR(SEARCH("Pesquisa de Preços",D1875)))</formula>
    </cfRule>
  </conditionalFormatting>
  <conditionalFormatting sqref="D1920 D1923:D1924">
    <cfRule type="containsText" dxfId="1250" priority="1189" operator="containsText" text="Pesquisa de Preços">
      <formula>NOT(ISERROR(SEARCH("Pesquisa de Preços",D1920)))</formula>
    </cfRule>
  </conditionalFormatting>
  <conditionalFormatting sqref="D1893:D1894 D1896:D1897">
    <cfRule type="containsText" dxfId="1249" priority="1196" operator="containsText" text="Pesquisa de Preços">
      <formula>NOT(ISERROR(SEARCH("Pesquisa de Preços",D1893)))</formula>
    </cfRule>
  </conditionalFormatting>
  <conditionalFormatting sqref="D1901">
    <cfRule type="containsText" dxfId="1248" priority="1193" operator="containsText" text="Pesquisa de Preços">
      <formula>NOT(ISERROR(SEARCH("Pesquisa de Preços",D1901)))</formula>
    </cfRule>
  </conditionalFormatting>
  <conditionalFormatting sqref="D1899:D1900 D1902:D1903">
    <cfRule type="containsText" dxfId="1247" priority="1194" operator="containsText" text="Pesquisa de Preços">
      <formula>NOT(ISERROR(SEARCH("Pesquisa de Preços",D1899)))</formula>
    </cfRule>
  </conditionalFormatting>
  <conditionalFormatting sqref="D1905">
    <cfRule type="containsText" dxfId="1246" priority="1192" operator="containsText" text="Pesquisa de Preços">
      <formula>NOT(ISERROR(SEARCH("Pesquisa de Preços",D1905)))</formula>
    </cfRule>
  </conditionalFormatting>
  <conditionalFormatting sqref="D1915:D1916 D1918">
    <cfRule type="containsText" dxfId="1245" priority="1191" operator="containsText" text="Pesquisa de Preços">
      <formula>NOT(ISERROR(SEARCH("Pesquisa de Preços",D1915)))</formula>
    </cfRule>
  </conditionalFormatting>
  <conditionalFormatting sqref="D1910">
    <cfRule type="containsText" dxfId="1244" priority="1190" operator="containsText" text="Pesquisa de Preços">
      <formula>NOT(ISERROR(SEARCH("Pesquisa de Preços",D1910)))</formula>
    </cfRule>
  </conditionalFormatting>
  <conditionalFormatting sqref="D1941:D1942 D1944:D1945">
    <cfRule type="containsText" dxfId="1243" priority="1188" operator="containsText" text="Pesquisa de Preços">
      <formula>NOT(ISERROR(SEARCH("Pesquisa de Preços",D1941)))</formula>
    </cfRule>
  </conditionalFormatting>
  <conditionalFormatting sqref="D1943">
    <cfRule type="containsText" dxfId="1242" priority="1187" operator="containsText" text="Pesquisa de Preços">
      <formula>NOT(ISERROR(SEARCH("Pesquisa de Preços",D1943)))</formula>
    </cfRule>
  </conditionalFormatting>
  <conditionalFormatting sqref="D1950:D1951">
    <cfRule type="containsText" dxfId="1241" priority="1186" operator="containsText" text="Pesquisa de Preços">
      <formula>NOT(ISERROR(SEARCH("Pesquisa de Preços",D1950)))</formula>
    </cfRule>
  </conditionalFormatting>
  <conditionalFormatting sqref="D1960:D1961 D1965">
    <cfRule type="containsText" dxfId="1240" priority="1183" operator="containsText" text="Pesquisa de Preços">
      <formula>NOT(ISERROR(SEARCH("Pesquisa de Preços",D1960)))</formula>
    </cfRule>
  </conditionalFormatting>
  <conditionalFormatting sqref="D1963">
    <cfRule type="containsText" dxfId="1239" priority="1182" operator="containsText" text="Pesquisa de Preços">
      <formula>NOT(ISERROR(SEARCH("Pesquisa de Preços",D1963)))</formula>
    </cfRule>
  </conditionalFormatting>
  <conditionalFormatting sqref="D1975:D1976 D1980:D1981">
    <cfRule type="containsText" dxfId="1238" priority="1185" operator="containsText" text="Pesquisa de Preços">
      <formula>NOT(ISERROR(SEARCH("Pesquisa de Preços",D1975)))</formula>
    </cfRule>
  </conditionalFormatting>
  <conditionalFormatting sqref="D1967 D1973">
    <cfRule type="containsText" dxfId="1237" priority="1184" operator="containsText" text="Pesquisa de Preços">
      <formula>NOT(ISERROR(SEARCH("Pesquisa de Preços",D1967)))</formula>
    </cfRule>
  </conditionalFormatting>
  <conditionalFormatting sqref="D1953:D1954 D1958">
    <cfRule type="containsText" dxfId="1236" priority="1181" operator="containsText" text="Pesquisa de Preços">
      <formula>NOT(ISERROR(SEARCH("Pesquisa de Preços",D1953)))</formula>
    </cfRule>
  </conditionalFormatting>
  <conditionalFormatting sqref="D1956">
    <cfRule type="containsText" dxfId="1235" priority="1180" operator="containsText" text="Pesquisa de Preços">
      <formula>NOT(ISERROR(SEARCH("Pesquisa de Preços",D1956)))</formula>
    </cfRule>
  </conditionalFormatting>
  <conditionalFormatting sqref="D2004 D2009">
    <cfRule type="containsText" dxfId="1234" priority="1179" operator="containsText" text="Pesquisa de Preços">
      <formula>NOT(ISERROR(SEARCH("Pesquisa de Preços",D2004)))</formula>
    </cfRule>
  </conditionalFormatting>
  <conditionalFormatting sqref="D1999:D2000">
    <cfRule type="containsText" dxfId="1233" priority="1177" operator="containsText" text="Pesquisa de Preços">
      <formula>NOT(ISERROR(SEARCH("Pesquisa de Preços",D1999)))</formula>
    </cfRule>
  </conditionalFormatting>
  <conditionalFormatting sqref="D1997 D2002">
    <cfRule type="containsText" dxfId="1232" priority="1178" operator="containsText" text="Pesquisa de Preços">
      <formula>NOT(ISERROR(SEARCH("Pesquisa de Preços",D1997)))</formula>
    </cfRule>
  </conditionalFormatting>
  <conditionalFormatting sqref="D1992:D1993">
    <cfRule type="containsText" dxfId="1231" priority="1175" operator="containsText" text="Pesquisa de Preços">
      <formula>NOT(ISERROR(SEARCH("Pesquisa de Preços",D1992)))</formula>
    </cfRule>
  </conditionalFormatting>
  <conditionalFormatting sqref="D1990 D1995">
    <cfRule type="containsText" dxfId="1230" priority="1176" operator="containsText" text="Pesquisa de Preços">
      <formula>NOT(ISERROR(SEARCH("Pesquisa de Preços",D1990)))</formula>
    </cfRule>
  </conditionalFormatting>
  <conditionalFormatting sqref="D1983 D1988">
    <cfRule type="containsText" dxfId="1229" priority="1174" operator="containsText" text="Pesquisa de Preços">
      <formula>NOT(ISERROR(SEARCH("Pesquisa de Preços",D1983)))</formula>
    </cfRule>
  </conditionalFormatting>
  <conditionalFormatting sqref="D2129">
    <cfRule type="containsText" dxfId="1228" priority="1173" operator="containsText" text="Pesquisa de Preços">
      <formula>NOT(ISERROR(SEARCH("Pesquisa de Preços",D2129)))</formula>
    </cfRule>
  </conditionalFormatting>
  <conditionalFormatting sqref="D2131:D2132">
    <cfRule type="containsText" dxfId="1227" priority="1172" operator="containsText" text="Pesquisa de Preços">
      <formula>NOT(ISERROR(SEARCH("Pesquisa de Preços",D2131)))</formula>
    </cfRule>
  </conditionalFormatting>
  <conditionalFormatting sqref="D2123">
    <cfRule type="containsText" dxfId="1226" priority="1171" operator="containsText" text="Pesquisa de Preços">
      <formula>NOT(ISERROR(SEARCH("Pesquisa de Preços",D2123)))</formula>
    </cfRule>
  </conditionalFormatting>
  <conditionalFormatting sqref="D2125:D2126">
    <cfRule type="containsText" dxfId="1225" priority="1170" operator="containsText" text="Pesquisa de Preços">
      <formula>NOT(ISERROR(SEARCH("Pesquisa de Preços",D2125)))</formula>
    </cfRule>
  </conditionalFormatting>
  <conditionalFormatting sqref="D2117">
    <cfRule type="containsText" dxfId="1224" priority="1169" operator="containsText" text="Pesquisa de Preços">
      <formula>NOT(ISERROR(SEARCH("Pesquisa de Preços",D2117)))</formula>
    </cfRule>
  </conditionalFormatting>
  <conditionalFormatting sqref="D2119:D2120">
    <cfRule type="containsText" dxfId="1223" priority="1168" operator="containsText" text="Pesquisa de Preços">
      <formula>NOT(ISERROR(SEARCH("Pesquisa de Preços",D2119)))</formula>
    </cfRule>
  </conditionalFormatting>
  <conditionalFormatting sqref="D2111">
    <cfRule type="containsText" dxfId="1222" priority="1167" operator="containsText" text="Pesquisa de Preços">
      <formula>NOT(ISERROR(SEARCH("Pesquisa de Preços",D2111)))</formula>
    </cfRule>
  </conditionalFormatting>
  <conditionalFormatting sqref="D2113:D2114">
    <cfRule type="containsText" dxfId="1221" priority="1166" operator="containsText" text="Pesquisa de Preços">
      <formula>NOT(ISERROR(SEARCH("Pesquisa de Preços",D2113)))</formula>
    </cfRule>
  </conditionalFormatting>
  <conditionalFormatting sqref="D2143 D2147:D2149">
    <cfRule type="containsText" dxfId="1220" priority="1165" operator="containsText" text="Pesquisa de Preços">
      <formula>NOT(ISERROR(SEARCH("Pesquisa de Preços",D2143)))</formula>
    </cfRule>
  </conditionalFormatting>
  <conditionalFormatting sqref="D2159 D2163:D2165">
    <cfRule type="containsText" dxfId="1219" priority="1164" operator="containsText" text="Pesquisa de Preços">
      <formula>NOT(ISERROR(SEARCH("Pesquisa de Preços",D2159)))</formula>
    </cfRule>
  </conditionalFormatting>
  <conditionalFormatting sqref="D2139:D2141">
    <cfRule type="containsText" dxfId="1218" priority="1163" operator="containsText" text="Pesquisa de Preços">
      <formula>NOT(ISERROR(SEARCH("Pesquisa de Preços",D2139)))</formula>
    </cfRule>
  </conditionalFormatting>
  <conditionalFormatting sqref="D2171:D2173">
    <cfRule type="containsText" dxfId="1217" priority="1162" operator="containsText" text="Pesquisa de Preços">
      <formula>NOT(ISERROR(SEARCH("Pesquisa de Preços",D2171)))</formula>
    </cfRule>
  </conditionalFormatting>
  <conditionalFormatting sqref="D2049 D2053:D2055">
    <cfRule type="containsText" dxfId="1216" priority="1158" operator="containsText" text="Pesquisa de Preços">
      <formula>NOT(ISERROR(SEARCH("Pesquisa de Preços",D2049)))</formula>
    </cfRule>
  </conditionalFormatting>
  <conditionalFormatting sqref="D2155:D2157">
    <cfRule type="containsText" dxfId="1215" priority="1161" operator="containsText" text="Pesquisa de Preços">
      <formula>NOT(ISERROR(SEARCH("Pesquisa de Preços",D2155)))</formula>
    </cfRule>
  </conditionalFormatting>
  <conditionalFormatting sqref="D2179:D2181">
    <cfRule type="containsText" dxfId="1214" priority="1160" operator="containsText" text="Pesquisa de Preços">
      <formula>NOT(ISERROR(SEARCH("Pesquisa de Preços",D2179)))</formula>
    </cfRule>
  </conditionalFormatting>
  <conditionalFormatting sqref="D2232:D2235">
    <cfRule type="containsText" dxfId="1213" priority="1135" operator="containsText" text="Pesquisa de Preços">
      <formula>NOT(ISERROR(SEARCH("Pesquisa de Preços",D2232)))</formula>
    </cfRule>
  </conditionalFormatting>
  <conditionalFormatting sqref="D2033 D2037:D2039">
    <cfRule type="containsText" dxfId="1212" priority="1159" operator="containsText" text="Pesquisa de Preços">
      <formula>NOT(ISERROR(SEARCH("Pesquisa de Preços",D2033)))</formula>
    </cfRule>
  </conditionalFormatting>
  <conditionalFormatting sqref="D2041 D2045:D2047">
    <cfRule type="containsText" dxfId="1211" priority="1155" operator="containsText" text="Pesquisa de Preços">
      <formula>NOT(ISERROR(SEARCH("Pesquisa de Preços",D2041)))</formula>
    </cfRule>
  </conditionalFormatting>
  <conditionalFormatting sqref="D2313:D2314 D2316:D2317">
    <cfRule type="containsText" dxfId="1210" priority="1130" operator="containsText" text="Pesquisa de Preços">
      <formula>NOT(ISERROR(SEARCH("Pesquisa de Preços",D2313)))</formula>
    </cfRule>
  </conditionalFormatting>
  <conditionalFormatting sqref="D2025 D2029:D2031">
    <cfRule type="containsText" dxfId="1209" priority="1157" operator="containsText" text="Pesquisa de Preços">
      <formula>NOT(ISERROR(SEARCH("Pesquisa de Preços",D2025)))</formula>
    </cfRule>
  </conditionalFormatting>
  <conditionalFormatting sqref="D2057 D2061:D2063">
    <cfRule type="containsText" dxfId="1208" priority="1156" operator="containsText" text="Pesquisa de Preços">
      <formula>NOT(ISERROR(SEARCH("Pesquisa de Preços",D2057)))</formula>
    </cfRule>
  </conditionalFormatting>
  <conditionalFormatting sqref="D2273:D2274">
    <cfRule type="containsText" dxfId="1207" priority="1138" operator="containsText" text="Pesquisa de Preços">
      <formula>NOT(ISERROR(SEARCH("Pesquisa de Preços",D2273)))</formula>
    </cfRule>
  </conditionalFormatting>
  <conditionalFormatting sqref="D2309">
    <cfRule type="containsText" dxfId="1206" priority="1127" operator="containsText" text="Pesquisa de Preços">
      <formula>NOT(ISERROR(SEARCH("Pesquisa de Preços",D2309)))</formula>
    </cfRule>
  </conditionalFormatting>
  <conditionalFormatting sqref="D2065 D2069:D2071">
    <cfRule type="containsText" dxfId="1205" priority="1154" operator="containsText" text="Pesquisa de Preços">
      <formula>NOT(ISERROR(SEARCH("Pesquisa de Preços",D2065)))</formula>
    </cfRule>
  </conditionalFormatting>
  <conditionalFormatting sqref="D2239">
    <cfRule type="containsText" dxfId="1204" priority="1142" operator="containsText" text="Pesquisa de Preços">
      <formula>NOT(ISERROR(SEARCH("Pesquisa de Preços",D2239)))</formula>
    </cfRule>
  </conditionalFormatting>
  <conditionalFormatting sqref="D2023">
    <cfRule type="containsText" dxfId="1203" priority="1153" operator="containsText" text="Pesquisa de Preços">
      <formula>NOT(ISERROR(SEARCH("Pesquisa de Preços",D2023)))</formula>
    </cfRule>
  </conditionalFormatting>
  <conditionalFormatting sqref="D2101:D2103">
    <cfRule type="containsText" dxfId="1202" priority="1152" operator="containsText" text="Pesquisa de Preços">
      <formula>NOT(ISERROR(SEARCH("Pesquisa de Preços",D2101)))</formula>
    </cfRule>
  </conditionalFormatting>
  <conditionalFormatting sqref="D2093:D2095">
    <cfRule type="containsText" dxfId="1201" priority="1151" operator="containsText" text="Pesquisa de Preços">
      <formula>NOT(ISERROR(SEARCH("Pesquisa de Preços",D2093)))</formula>
    </cfRule>
  </conditionalFormatting>
  <conditionalFormatting sqref="D2208">
    <cfRule type="containsText" dxfId="1200" priority="1145" operator="containsText" text="Pesquisa de Preços">
      <formula>NOT(ISERROR(SEARCH("Pesquisa de Preços",D2208)))</formula>
    </cfRule>
  </conditionalFormatting>
  <conditionalFormatting sqref="D2087">
    <cfRule type="containsText" dxfId="1199" priority="1150" operator="containsText" text="Pesquisa de Preços">
      <formula>NOT(ISERROR(SEARCH("Pesquisa de Preços",D2087)))</formula>
    </cfRule>
  </conditionalFormatting>
  <conditionalFormatting sqref="D2011:D2012 D2014:D2015">
    <cfRule type="containsText" dxfId="1198" priority="1149" operator="containsText" text="Pesquisa de Preços">
      <formula>NOT(ISERROR(SEARCH("Pesquisa de Preços",D2011)))</formula>
    </cfRule>
  </conditionalFormatting>
  <conditionalFormatting sqref="D2105">
    <cfRule type="containsText" dxfId="1197" priority="1148" operator="containsText" text="Pesquisa de Preços">
      <formula>NOT(ISERROR(SEARCH("Pesquisa de Preços",D2105)))</formula>
    </cfRule>
  </conditionalFormatting>
  <conditionalFormatting sqref="D2199:D2200">
    <cfRule type="containsText" dxfId="1196" priority="1147" operator="containsText" text="Pesquisa de Preços">
      <formula>NOT(ISERROR(SEARCH("Pesquisa de Preços",D2199)))</formula>
    </cfRule>
  </conditionalFormatting>
  <conditionalFormatting sqref="D2204:D2205">
    <cfRule type="containsText" dxfId="1195" priority="1146" operator="containsText" text="Pesquisa de Preços">
      <formula>NOT(ISERROR(SEARCH("Pesquisa de Preços",D2204)))</formula>
    </cfRule>
  </conditionalFormatting>
  <conditionalFormatting sqref="D2223 D2226:D2227">
    <cfRule type="containsText" dxfId="1194" priority="1144" operator="containsText" text="Pesquisa de Preços">
      <formula>NOT(ISERROR(SEARCH("Pesquisa de Preços",D2223)))</formula>
    </cfRule>
  </conditionalFormatting>
  <conditionalFormatting sqref="D2217 D2220:D2221">
    <cfRule type="containsText" dxfId="1193" priority="1143" operator="containsText" text="Pesquisa de Preços">
      <formula>NOT(ISERROR(SEARCH("Pesquisa de Preços",D2217)))</formula>
    </cfRule>
  </conditionalFormatting>
  <conditionalFormatting sqref="D2277">
    <cfRule type="containsText" dxfId="1192" priority="1140" operator="containsText" text="Pesquisa de Preços">
      <formula>NOT(ISERROR(SEARCH("Pesquisa de Preços",D2277)))</formula>
    </cfRule>
  </conditionalFormatting>
  <conditionalFormatting sqref="D2242">
    <cfRule type="containsText" dxfId="1191" priority="1141" operator="containsText" text="Pesquisa de Preços">
      <formula>NOT(ISERROR(SEARCH("Pesquisa de Preços",D2242)))</formula>
    </cfRule>
  </conditionalFormatting>
  <conditionalFormatting sqref="D2269 D2271:D2272">
    <cfRule type="containsText" dxfId="1190" priority="1139" operator="containsText" text="Pesquisa de Preços">
      <formula>NOT(ISERROR(SEARCH("Pesquisa de Preços",D2269)))</formula>
    </cfRule>
  </conditionalFormatting>
  <conditionalFormatting sqref="D2261 D2267">
    <cfRule type="containsText" dxfId="1189" priority="1137" operator="containsText" text="Pesquisa de Preços">
      <formula>NOT(ISERROR(SEARCH("Pesquisa de Preços",D2261)))</formula>
    </cfRule>
  </conditionalFormatting>
  <conditionalFormatting sqref="D2229:D2230 D2236:D2237">
    <cfRule type="containsText" dxfId="1188" priority="1136" operator="containsText" text="Pesquisa de Preços">
      <formula>NOT(ISERROR(SEARCH("Pesquisa de Preços",D2229)))</formula>
    </cfRule>
  </conditionalFormatting>
  <conditionalFormatting sqref="D2294:D2295">
    <cfRule type="containsText" dxfId="1187" priority="1134" operator="containsText" text="Pesquisa de Preços">
      <formula>NOT(ISERROR(SEARCH("Pesquisa de Preços",D2294)))</formula>
    </cfRule>
  </conditionalFormatting>
  <conditionalFormatting sqref="D2298">
    <cfRule type="containsText" dxfId="1186" priority="1133" operator="containsText" text="Pesquisa de Preços">
      <formula>NOT(ISERROR(SEARCH("Pesquisa de Preços",D2298)))</formula>
    </cfRule>
  </conditionalFormatting>
  <conditionalFormatting sqref="D2292">
    <cfRule type="containsText" dxfId="1185" priority="1132" operator="containsText" text="Pesquisa de Preços">
      <formula>NOT(ISERROR(SEARCH("Pesquisa de Preços",D2292)))</formula>
    </cfRule>
  </conditionalFormatting>
  <conditionalFormatting sqref="D2325">
    <cfRule type="containsText" dxfId="1184" priority="1131" operator="containsText" text="Pesquisa de Preços">
      <formula>NOT(ISERROR(SEARCH("Pesquisa de Preços",D2325)))</formula>
    </cfRule>
  </conditionalFormatting>
  <conditionalFormatting sqref="D2315">
    <cfRule type="containsText" dxfId="1183" priority="1129" operator="containsText" text="Pesquisa de Preços">
      <formula>NOT(ISERROR(SEARCH("Pesquisa de Preços",D2315)))</formula>
    </cfRule>
  </conditionalFormatting>
  <conditionalFormatting sqref="D2307:D2308 D2310:D2311">
    <cfRule type="containsText" dxfId="1182" priority="1128" operator="containsText" text="Pesquisa de Preços">
      <formula>NOT(ISERROR(SEARCH("Pesquisa de Preços",D2307)))</formula>
    </cfRule>
  </conditionalFormatting>
  <conditionalFormatting sqref="D2319:D2320 D2322:D2323">
    <cfRule type="containsText" dxfId="1181" priority="1126" operator="containsText" text="Pesquisa de Preços">
      <formula>NOT(ISERROR(SEARCH("Pesquisa de Preços",D2319)))</formula>
    </cfRule>
  </conditionalFormatting>
  <conditionalFormatting sqref="D2321">
    <cfRule type="containsText" dxfId="1180" priority="1125" operator="containsText" text="Pesquisa de Preços">
      <formula>NOT(ISERROR(SEARCH("Pesquisa de Preços",D2321)))</formula>
    </cfRule>
  </conditionalFormatting>
  <conditionalFormatting sqref="D2301 D2304:D2305">
    <cfRule type="containsText" dxfId="1179" priority="1124" operator="containsText" text="Pesquisa de Preços">
      <formula>NOT(ISERROR(SEARCH("Pesquisa de Preços",D2301)))</formula>
    </cfRule>
  </conditionalFormatting>
  <conditionalFormatting sqref="D2303">
    <cfRule type="containsText" dxfId="1178" priority="1123" operator="containsText" text="Pesquisa de Preços">
      <formula>NOT(ISERROR(SEARCH("Pesquisa de Preços",D2303)))</formula>
    </cfRule>
  </conditionalFormatting>
  <conditionalFormatting sqref="D2330:D2333">
    <cfRule type="containsText" dxfId="1177" priority="1122" operator="containsText" text="Pesquisa de Preços">
      <formula>NOT(ISERROR(SEARCH("Pesquisa de Preços",D2330)))</formula>
    </cfRule>
  </conditionalFormatting>
  <conditionalFormatting sqref="D2335 D2337:D2338">
    <cfRule type="containsText" dxfId="1176" priority="1121" operator="containsText" text="Pesquisa de Preços">
      <formula>NOT(ISERROR(SEARCH("Pesquisa de Preços",D2335)))</formula>
    </cfRule>
  </conditionalFormatting>
  <conditionalFormatting sqref="D889:D890 D892:D894">
    <cfRule type="containsText" dxfId="1175" priority="1120" operator="containsText" text="Pesquisa de Preços">
      <formula>NOT(ISERROR(SEARCH("Pesquisa de Preços",D889)))</formula>
    </cfRule>
  </conditionalFormatting>
  <conditionalFormatting sqref="D849:D850 D853:D854">
    <cfRule type="containsText" dxfId="1174" priority="1115" operator="containsText" text="Pesquisa de Preços">
      <formula>NOT(ISERROR(SEARCH("Pesquisa de Preços",D849)))</formula>
    </cfRule>
  </conditionalFormatting>
  <conditionalFormatting sqref="D870:D871 D874:D875">
    <cfRule type="containsText" dxfId="1173" priority="1119" operator="containsText" text="Pesquisa de Preços">
      <formula>NOT(ISERROR(SEARCH("Pesquisa de Preços",D870)))</formula>
    </cfRule>
  </conditionalFormatting>
  <conditionalFormatting sqref="D872:D873">
    <cfRule type="containsText" dxfId="1172" priority="1118" operator="containsText" text="Pesquisa de Preços">
      <formula>NOT(ISERROR(SEARCH("Pesquisa de Preços",D872)))</formula>
    </cfRule>
  </conditionalFormatting>
  <conditionalFormatting sqref="D877:D878 D881:D882">
    <cfRule type="containsText" dxfId="1171" priority="1117" operator="containsText" text="Pesquisa de Preços">
      <formula>NOT(ISERROR(SEARCH("Pesquisa de Preços",D877)))</formula>
    </cfRule>
  </conditionalFormatting>
  <conditionalFormatting sqref="D879:D880">
    <cfRule type="containsText" dxfId="1170" priority="1116" operator="containsText" text="Pesquisa de Preços">
      <formula>NOT(ISERROR(SEARCH("Pesquisa de Preços",D879)))</formula>
    </cfRule>
  </conditionalFormatting>
  <conditionalFormatting sqref="D851:D852">
    <cfRule type="containsText" dxfId="1169" priority="1114" operator="containsText" text="Pesquisa de Preços">
      <formula>NOT(ISERROR(SEARCH("Pesquisa de Preços",D851)))</formula>
    </cfRule>
  </conditionalFormatting>
  <conditionalFormatting sqref="D838 D840:D841">
    <cfRule type="containsText" dxfId="1168" priority="1113" operator="containsText" text="Pesquisa de Preços">
      <formula>NOT(ISERROR(SEARCH("Pesquisa de Preços",D838)))</formula>
    </cfRule>
  </conditionalFormatting>
  <conditionalFormatting sqref="D843 D846:D847">
    <cfRule type="containsText" dxfId="1167" priority="1112" operator="containsText" text="Pesquisa de Preços">
      <formula>NOT(ISERROR(SEARCH("Pesquisa de Preços",D843)))</formula>
    </cfRule>
  </conditionalFormatting>
  <conditionalFormatting sqref="D862">
    <cfRule type="containsText" dxfId="1166" priority="1111" operator="containsText" text="Pesquisa de Preços">
      <formula>NOT(ISERROR(SEARCH("Pesquisa de Preços",D862)))</formula>
    </cfRule>
  </conditionalFormatting>
  <conditionalFormatting sqref="D856">
    <cfRule type="containsText" dxfId="1165" priority="1110" operator="containsText" text="Pesquisa de Preços">
      <formula>NOT(ISERROR(SEARCH("Pesquisa de Preços",D856)))</formula>
    </cfRule>
  </conditionalFormatting>
  <conditionalFormatting sqref="D886">
    <cfRule type="containsText" dxfId="1164" priority="1108" operator="containsText" text="Pesquisa de Preços">
      <formula>NOT(ISERROR(SEARCH("Pesquisa de Preços",D886)))</formula>
    </cfRule>
  </conditionalFormatting>
  <conditionalFormatting sqref="D884:D885">
    <cfRule type="containsText" dxfId="1163" priority="1109" operator="containsText" text="Pesquisa de Preços">
      <formula>NOT(ISERROR(SEARCH("Pesquisa de Preços",D884)))</formula>
    </cfRule>
  </conditionalFormatting>
  <conditionalFormatting sqref="D896:D897">
    <cfRule type="containsText" dxfId="1162" priority="1107" operator="containsText" text="Pesquisa de Preços">
      <formula>NOT(ISERROR(SEARCH("Pesquisa de Preços",D896)))</formula>
    </cfRule>
  </conditionalFormatting>
  <conditionalFormatting sqref="D2346:D2347">
    <cfRule type="containsText" dxfId="1161" priority="1106" operator="containsText" text="Pesquisa de Preços">
      <formula>NOT(ISERROR(SEARCH("Pesquisa de Preços",D2346)))</formula>
    </cfRule>
  </conditionalFormatting>
  <conditionalFormatting sqref="D2354 D2357 D2359">
    <cfRule type="containsText" dxfId="1160" priority="1105" operator="containsText" text="Pesquisa de Preços">
      <formula>NOT(ISERROR(SEARCH("Pesquisa de Preços",D2354)))</formula>
    </cfRule>
  </conditionalFormatting>
  <conditionalFormatting sqref="D2340:D2341 D2343:D2344">
    <cfRule type="containsText" dxfId="1159" priority="1104" operator="containsText" text="Pesquisa de Preços">
      <formula>NOT(ISERROR(SEARCH("Pesquisa de Preços",D2340)))</formula>
    </cfRule>
  </conditionalFormatting>
  <conditionalFormatting sqref="D2367 D2371:D2372">
    <cfRule type="containsText" dxfId="1158" priority="1102" operator="containsText" text="Pesquisa de Preços">
      <formula>NOT(ISERROR(SEARCH("Pesquisa de Preços",D2367)))</formula>
    </cfRule>
  </conditionalFormatting>
  <conditionalFormatting sqref="D2342">
    <cfRule type="containsText" dxfId="1157" priority="1103" operator="containsText" text="Pesquisa de Preços">
      <formula>NOT(ISERROR(SEARCH("Pesquisa de Preços",D2342)))</formula>
    </cfRule>
  </conditionalFormatting>
  <conditionalFormatting sqref="D2361">
    <cfRule type="containsText" dxfId="1156" priority="1101" operator="containsText" text="Pesquisa de Preços">
      <formula>NOT(ISERROR(SEARCH("Pesquisa de Preços",D2361)))</formula>
    </cfRule>
  </conditionalFormatting>
  <conditionalFormatting sqref="D1763:D1764 D1767:D1768">
    <cfRule type="containsText" dxfId="1155" priority="1099" operator="containsText" text="Pesquisa de Preços">
      <formula>NOT(ISERROR(SEARCH("Pesquisa de Preços",D1763)))</formula>
    </cfRule>
  </conditionalFormatting>
  <conditionalFormatting sqref="D1765:D1766">
    <cfRule type="containsText" dxfId="1154" priority="1098" operator="containsText" text="Pesquisa de Preços">
      <formula>NOT(ISERROR(SEARCH("Pesquisa de Preços",D1765)))</formula>
    </cfRule>
  </conditionalFormatting>
  <conditionalFormatting sqref="D1777:D1778 D1781:D1782">
    <cfRule type="containsText" dxfId="1153" priority="1096" operator="containsText" text="Pesquisa de Preços">
      <formula>NOT(ISERROR(SEARCH("Pesquisa de Preços",D1777)))</formula>
    </cfRule>
  </conditionalFormatting>
  <conditionalFormatting sqref="D1779:D1780">
    <cfRule type="containsText" dxfId="1152" priority="1095" operator="containsText" text="Pesquisa de Preços">
      <formula>NOT(ISERROR(SEARCH("Pesquisa de Preços",D1779)))</formula>
    </cfRule>
  </conditionalFormatting>
  <conditionalFormatting sqref="D1791:D1792 D1795:D1796">
    <cfRule type="containsText" dxfId="1151" priority="1093" operator="containsText" text="Pesquisa de Preços">
      <formula>NOT(ISERROR(SEARCH("Pesquisa de Preços",D1791)))</formula>
    </cfRule>
  </conditionalFormatting>
  <conditionalFormatting sqref="D1793:D1794">
    <cfRule type="containsText" dxfId="1150" priority="1092" operator="containsText" text="Pesquisa de Preços">
      <formula>NOT(ISERROR(SEARCH("Pesquisa de Preços",D1793)))</formula>
    </cfRule>
  </conditionalFormatting>
  <conditionalFormatting sqref="D1749:D1750 D1753:D1754">
    <cfRule type="containsText" dxfId="1149" priority="1090" operator="containsText" text="Pesquisa de Preços">
      <formula>NOT(ISERROR(SEARCH("Pesquisa de Preços",D1749)))</formula>
    </cfRule>
  </conditionalFormatting>
  <conditionalFormatting sqref="D1751:D1752">
    <cfRule type="containsText" dxfId="1148" priority="1089" operator="containsText" text="Pesquisa de Preços">
      <formula>NOT(ISERROR(SEARCH("Pesquisa de Preços",D1751)))</formula>
    </cfRule>
  </conditionalFormatting>
  <conditionalFormatting sqref="D1756:D1757 D1760:D1761">
    <cfRule type="containsText" dxfId="1147" priority="1087" operator="containsText" text="Pesquisa de Preços">
      <formula>NOT(ISERROR(SEARCH("Pesquisa de Preços",D1756)))</formula>
    </cfRule>
  </conditionalFormatting>
  <conditionalFormatting sqref="D590 D594">
    <cfRule type="containsText" dxfId="1146" priority="1025" operator="containsText" text="Pesquisa de Preços">
      <formula>NOT(ISERROR(SEARCH("Pesquisa de Preços",D590)))</formula>
    </cfRule>
  </conditionalFormatting>
  <conditionalFormatting sqref="D1758:D1759">
    <cfRule type="containsText" dxfId="1145" priority="1086" operator="containsText" text="Pesquisa de Preços">
      <formula>NOT(ISERROR(SEARCH("Pesquisa de Preços",D1758)))</formula>
    </cfRule>
  </conditionalFormatting>
  <conditionalFormatting sqref="D1774:D1775 D1770:D1771">
    <cfRule type="containsText" dxfId="1144" priority="1084" operator="containsText" text="Pesquisa de Preços">
      <formula>NOT(ISERROR(SEARCH("Pesquisa de Preços",D1770)))</formula>
    </cfRule>
  </conditionalFormatting>
  <conditionalFormatting sqref="D1772:D1773">
    <cfRule type="containsText" dxfId="1143" priority="1083" operator="containsText" text="Pesquisa de Preços">
      <formula>NOT(ISERROR(SEARCH("Pesquisa de Preços",D1772)))</formula>
    </cfRule>
  </conditionalFormatting>
  <conditionalFormatting sqref="D1784:D1785 D1788:D1789">
    <cfRule type="containsText" dxfId="1142" priority="1082" operator="containsText" text="Pesquisa de Preços">
      <formula>NOT(ISERROR(SEARCH("Pesquisa de Preços",D1784)))</formula>
    </cfRule>
  </conditionalFormatting>
  <conditionalFormatting sqref="D1786:D1787">
    <cfRule type="containsText" dxfId="1141" priority="1081" operator="containsText" text="Pesquisa de Preços">
      <formula>NOT(ISERROR(SEARCH("Pesquisa de Preços",D1786)))</formula>
    </cfRule>
  </conditionalFormatting>
  <conditionalFormatting sqref="D1166">
    <cfRule type="containsText" dxfId="1140" priority="1080" operator="containsText" text="Pesquisa de Preços">
      <formula>NOT(ISERROR(SEARCH("Pesquisa de Preços",D1166)))</formula>
    </cfRule>
  </conditionalFormatting>
  <conditionalFormatting sqref="D1852 D1854">
    <cfRule type="containsText" dxfId="1139" priority="1079" operator="containsText" text="Pesquisa de Preços">
      <formula>NOT(ISERROR(SEARCH("Pesquisa de Preços",D1852)))</formula>
    </cfRule>
  </conditionalFormatting>
  <conditionalFormatting sqref="D1853">
    <cfRule type="containsText" dxfId="1138" priority="1078" operator="containsText" text="Pesquisa de Preços">
      <formula>NOT(ISERROR(SEARCH("Pesquisa de Preços",D1853)))</formula>
    </cfRule>
  </conditionalFormatting>
  <conditionalFormatting sqref="D1972">
    <cfRule type="containsText" dxfId="1137" priority="1077" operator="containsText" text="Pesquisa de Preços">
      <formula>NOT(ISERROR(SEARCH("Pesquisa de Preços",D1972)))</formula>
    </cfRule>
  </conditionalFormatting>
  <conditionalFormatting sqref="D2006:D2007">
    <cfRule type="containsText" dxfId="1136" priority="1076" operator="containsText" text="Pesquisa de Preços">
      <formula>NOT(ISERROR(SEARCH("Pesquisa de Preços",D2006)))</formula>
    </cfRule>
  </conditionalFormatting>
  <conditionalFormatting sqref="D1985:D1986">
    <cfRule type="containsText" dxfId="1135" priority="1075" operator="containsText" text="Pesquisa de Preços">
      <formula>NOT(ISERROR(SEARCH("Pesquisa de Preços",D1985)))</formula>
    </cfRule>
  </conditionalFormatting>
  <conditionalFormatting sqref="D2085:D2086">
    <cfRule type="containsText" dxfId="1134" priority="1074" operator="containsText" text="Pesquisa de Preços">
      <formula>NOT(ISERROR(SEARCH("Pesquisa de Preços",D2085)))</formula>
    </cfRule>
  </conditionalFormatting>
  <conditionalFormatting sqref="D2021:D2022">
    <cfRule type="containsText" dxfId="1133" priority="1073" operator="containsText" text="Pesquisa de Preços">
      <formula>NOT(ISERROR(SEARCH("Pesquisa de Preços",D2021)))</formula>
    </cfRule>
  </conditionalFormatting>
  <conditionalFormatting sqref="D821">
    <cfRule type="containsText" dxfId="1132" priority="1000" operator="containsText" text="Pesquisa de Preços">
      <formula>NOT(ISERROR(SEARCH("Pesquisa de Preços",D821)))</formula>
    </cfRule>
  </conditionalFormatting>
  <conditionalFormatting sqref="D822">
    <cfRule type="containsText" dxfId="1131" priority="999" operator="containsText" text="Pesquisa de Preços">
      <formula>NOT(ISERROR(SEARCH("Pesquisa de Preços",D822)))</formula>
    </cfRule>
  </conditionalFormatting>
  <conditionalFormatting sqref="D1291">
    <cfRule type="containsText" dxfId="1130" priority="995" operator="containsText" text="Pesquisa de Preços">
      <formula>NOT(ISERROR(SEARCH("Pesquisa de Preços",D1291)))</formula>
    </cfRule>
  </conditionalFormatting>
  <conditionalFormatting sqref="D1153">
    <cfRule type="containsText" dxfId="1129" priority="992" operator="containsText" text="Pesquisa de Preços">
      <formula>NOT(ISERROR(SEARCH("Pesquisa de Preços",D1153)))</formula>
    </cfRule>
  </conditionalFormatting>
  <conditionalFormatting sqref="D1342">
    <cfRule type="containsText" dxfId="1128" priority="994" operator="containsText" text="Pesquisa de Preços">
      <formula>NOT(ISERROR(SEARCH("Pesquisa de Preços",D1342)))</formula>
    </cfRule>
  </conditionalFormatting>
  <conditionalFormatting sqref="D1373">
    <cfRule type="containsText" dxfId="1127" priority="988" operator="containsText" text="Pesquisa de Preços">
      <formula>NOT(ISERROR(SEARCH("Pesquisa de Preços",D1373)))</formula>
    </cfRule>
  </conditionalFormatting>
  <conditionalFormatting sqref="D206">
    <cfRule type="containsText" dxfId="1126" priority="989" operator="containsText" text="Pesquisa de Preços">
      <formula>NOT(ISERROR(SEARCH("Pesquisa de Preços",D206)))</formula>
    </cfRule>
  </conditionalFormatting>
  <conditionalFormatting sqref="D1628">
    <cfRule type="containsText" dxfId="1125" priority="985" operator="containsText" text="Pesquisa de Preços">
      <formula>NOT(ISERROR(SEARCH("Pesquisa de Preços",D1628)))</formula>
    </cfRule>
  </conditionalFormatting>
  <conditionalFormatting sqref="D1678">
    <cfRule type="containsText" dxfId="1124" priority="984" operator="containsText" text="Pesquisa de Preços">
      <formula>NOT(ISERROR(SEARCH("Pesquisa de Preços",D1678)))</formula>
    </cfRule>
  </conditionalFormatting>
  <conditionalFormatting sqref="D1679">
    <cfRule type="containsText" dxfId="1123" priority="983" operator="containsText" text="Pesquisa de Preços">
      <formula>NOT(ISERROR(SEARCH("Pesquisa de Preços",D1679)))</formula>
    </cfRule>
  </conditionalFormatting>
  <conditionalFormatting sqref="D1605">
    <cfRule type="containsText" dxfId="1122" priority="981" operator="containsText" text="Pesquisa de Preços">
      <formula>NOT(ISERROR(SEARCH("Pesquisa de Preços",D1605)))</formula>
    </cfRule>
  </conditionalFormatting>
  <conditionalFormatting sqref="D1680">
    <cfRule type="containsText" dxfId="1121" priority="979" operator="containsText" text="Pesquisa de Preços">
      <formula>NOT(ISERROR(SEARCH("Pesquisa de Preços",D1680)))</formula>
    </cfRule>
  </conditionalFormatting>
  <conditionalFormatting sqref="D812">
    <cfRule type="containsText" dxfId="1120" priority="1072" operator="containsText" text="Pesquisa de Preços">
      <formula>NOT(ISERROR(SEARCH("Pesquisa de Preços",D812)))</formula>
    </cfRule>
  </conditionalFormatting>
  <conditionalFormatting sqref="D813">
    <cfRule type="containsText" dxfId="1119" priority="1071" operator="containsText" text="Pesquisa de Preços">
      <formula>NOT(ISERROR(SEARCH("Pesquisa de Preços",D813)))</formula>
    </cfRule>
  </conditionalFormatting>
  <conditionalFormatting sqref="D54">
    <cfRule type="containsText" dxfId="1118" priority="1054" operator="containsText" text="Pesquisa de Preços">
      <formula>NOT(ISERROR(SEARCH("Pesquisa de Preços",D54)))</formula>
    </cfRule>
  </conditionalFormatting>
  <conditionalFormatting sqref="D450">
    <cfRule type="containsText" dxfId="1117" priority="1070" operator="containsText" text="Pesquisa de Preços">
      <formula>NOT(ISERROR(SEARCH("Pesquisa de Preços",D450)))</formula>
    </cfRule>
  </conditionalFormatting>
  <conditionalFormatting sqref="D449">
    <cfRule type="containsText" dxfId="1116" priority="1069" operator="containsText" text="Pesquisa de Preços">
      <formula>NOT(ISERROR(SEARCH("Pesquisa de Preços",D449)))</formula>
    </cfRule>
  </conditionalFormatting>
  <conditionalFormatting sqref="D448">
    <cfRule type="containsText" dxfId="1115" priority="1068" operator="containsText" text="Pesquisa de Preços">
      <formula>NOT(ISERROR(SEARCH("Pesquisa de Preços",D448)))</formula>
    </cfRule>
  </conditionalFormatting>
  <conditionalFormatting sqref="D205">
    <cfRule type="containsText" dxfId="1114" priority="1067" operator="containsText" text="Pesquisa de Preços">
      <formula>NOT(ISERROR(SEARCH("Pesquisa de Preços",D205)))</formula>
    </cfRule>
  </conditionalFormatting>
  <conditionalFormatting sqref="D103:D104">
    <cfRule type="containsText" dxfId="1113" priority="1066" operator="containsText" text="Pesquisa de Preços">
      <formula>NOT(ISERROR(SEARCH("Pesquisa de Preços",D103)))</formula>
    </cfRule>
  </conditionalFormatting>
  <conditionalFormatting sqref="D423:D424">
    <cfRule type="containsText" dxfId="1112" priority="1065" operator="containsText" text="Pesquisa de Preços">
      <formula>NOT(ISERROR(SEARCH("Pesquisa de Preços",D423)))</formula>
    </cfRule>
  </conditionalFormatting>
  <conditionalFormatting sqref="D425:D427">
    <cfRule type="containsText" dxfId="1111" priority="1064" operator="containsText" text="Pesquisa de Preços">
      <formula>NOT(ISERROR(SEARCH("Pesquisa de Preços",D425)))</formula>
    </cfRule>
  </conditionalFormatting>
  <conditionalFormatting sqref="D616:D617 D619:D620">
    <cfRule type="containsText" dxfId="1110" priority="1063" operator="containsText" text="Pesquisa de Preços">
      <formula>NOT(ISERROR(SEARCH("Pesquisa de Preços",D616)))</formula>
    </cfRule>
  </conditionalFormatting>
  <conditionalFormatting sqref="D589 D595">
    <cfRule type="containsText" dxfId="1109" priority="1061" operator="containsText" text="Pesquisa de Preços">
      <formula>NOT(ISERROR(SEARCH("Pesquisa de Preços",D589)))</formula>
    </cfRule>
  </conditionalFormatting>
  <conditionalFormatting sqref="D638:D639 D642:D643">
    <cfRule type="containsText" dxfId="1108" priority="1059" operator="containsText" text="Pesquisa de Preços">
      <formula>NOT(ISERROR(SEARCH("Pesquisa de Preços",D638)))</formula>
    </cfRule>
  </conditionalFormatting>
  <conditionalFormatting sqref="D640:D641">
    <cfRule type="containsText" dxfId="1107" priority="1058" operator="containsText" text="Pesquisa de Preços">
      <formula>NOT(ISERROR(SEARCH("Pesquisa de Preços",D640)))</formula>
    </cfRule>
  </conditionalFormatting>
  <conditionalFormatting sqref="D1712">
    <cfRule type="containsText" dxfId="1106" priority="965" operator="containsText" text="Pesquisa de Preços">
      <formula>NOT(ISERROR(SEARCH("Pesquisa de Preços",D1712)))</formula>
    </cfRule>
  </conditionalFormatting>
  <conditionalFormatting sqref="D225">
    <cfRule type="containsText" dxfId="1105" priority="1057" operator="containsText" text="Pesquisa de Preços">
      <formula>NOT(ISERROR(SEARCH("Pesquisa de Preços",D225)))</formula>
    </cfRule>
  </conditionalFormatting>
  <conditionalFormatting sqref="D151">
    <cfRule type="containsText" dxfId="1104" priority="1056" operator="containsText" text="Pesquisa de Preços">
      <formula>NOT(ISERROR(SEARCH("Pesquisa de Preços",D151)))</formula>
    </cfRule>
  </conditionalFormatting>
  <conditionalFormatting sqref="D163">
    <cfRule type="containsText" dxfId="1103" priority="1055" operator="containsText" text="Pesquisa de Preços">
      <formula>NOT(ISERROR(SEARCH("Pesquisa de Preços",D163)))</formula>
    </cfRule>
  </conditionalFormatting>
  <conditionalFormatting sqref="D55:D57">
    <cfRule type="containsText" dxfId="1102" priority="1053" operator="containsText" text="Pesquisa de Preços">
      <formula>NOT(ISERROR(SEARCH("Pesquisa de Preços",D55)))</formula>
    </cfRule>
  </conditionalFormatting>
  <conditionalFormatting sqref="D30:D31">
    <cfRule type="containsText" dxfId="1101" priority="1052" operator="containsText" text="Pesquisa de Preços">
      <formula>NOT(ISERROR(SEARCH("Pesquisa de Preços",D30)))</formula>
    </cfRule>
  </conditionalFormatting>
  <conditionalFormatting sqref="D25:D26">
    <cfRule type="containsText" dxfId="1100" priority="1051" operator="containsText" text="Pesquisa de Preços">
      <formula>NOT(ISERROR(SEARCH("Pesquisa de Preços",D25)))</formula>
    </cfRule>
  </conditionalFormatting>
  <conditionalFormatting sqref="D180">
    <cfRule type="containsText" dxfId="1099" priority="1050" operator="containsText" text="Pesquisa de Preços">
      <formula>NOT(ISERROR(SEARCH("Pesquisa de Preços",D180)))</formula>
    </cfRule>
  </conditionalFormatting>
  <conditionalFormatting sqref="D127:D128">
    <cfRule type="containsText" dxfId="1098" priority="1049" operator="containsText" text="Pesquisa de Preços">
      <formula>NOT(ISERROR(SEARCH("Pesquisa de Preços",D127)))</formula>
    </cfRule>
  </conditionalFormatting>
  <conditionalFormatting sqref="D1912">
    <cfRule type="containsText" dxfId="1097" priority="957" operator="containsText" text="Pesquisa de Preços">
      <formula>NOT(ISERROR(SEARCH("Pesquisa de Preços",D1912)))</formula>
    </cfRule>
  </conditionalFormatting>
  <conditionalFormatting sqref="D84">
    <cfRule type="containsText" dxfId="1096" priority="1048" operator="containsText" text="Pesquisa de Preços">
      <formula>NOT(ISERROR(SEARCH("Pesquisa de Preços",D84)))</formula>
    </cfRule>
  </conditionalFormatting>
  <conditionalFormatting sqref="D85">
    <cfRule type="containsText" dxfId="1095" priority="1047" operator="containsText" text="Pesquisa de Preços">
      <formula>NOT(ISERROR(SEARCH("Pesquisa de Preços",D85)))</formula>
    </cfRule>
  </conditionalFormatting>
  <conditionalFormatting sqref="D61">
    <cfRule type="containsText" dxfId="1094" priority="1046" operator="containsText" text="Pesquisa de Preços">
      <formula>NOT(ISERROR(SEARCH("Pesquisa de Preços",D61)))</formula>
    </cfRule>
  </conditionalFormatting>
  <conditionalFormatting sqref="D62">
    <cfRule type="containsText" dxfId="1093" priority="1045" operator="containsText" text="Pesquisa de Preços">
      <formula>NOT(ISERROR(SEARCH("Pesquisa de Preços",D62)))</formula>
    </cfRule>
  </conditionalFormatting>
  <conditionalFormatting sqref="D2326">
    <cfRule type="containsText" dxfId="1092" priority="954" operator="containsText" text="Pesquisa de Preços">
      <formula>NOT(ISERROR(SEARCH("Pesquisa de Preços",D2326)))</formula>
    </cfRule>
  </conditionalFormatting>
  <conditionalFormatting sqref="D311">
    <cfRule type="containsText" dxfId="1091" priority="1044" operator="containsText" text="Pesquisa de Preços">
      <formula>NOT(ISERROR(SEARCH("Pesquisa de Preços",D311)))</formula>
    </cfRule>
  </conditionalFormatting>
  <conditionalFormatting sqref="D297">
    <cfRule type="containsText" dxfId="1090" priority="1042" operator="containsText" text="Pesquisa de Preços">
      <formula>NOT(ISERROR(SEARCH("Pesquisa de Preços",D297)))</formula>
    </cfRule>
  </conditionalFormatting>
  <conditionalFormatting sqref="D457">
    <cfRule type="containsText" dxfId="1089" priority="1041" operator="containsText" text="Pesquisa de Preços">
      <formula>NOT(ISERROR(SEARCH("Pesquisa de Preços",D457)))</formula>
    </cfRule>
  </conditionalFormatting>
  <conditionalFormatting sqref="D467">
    <cfRule type="containsText" dxfId="1088" priority="1040" operator="containsText" text="Pesquisa de Preços">
      <formula>NOT(ISERROR(SEARCH("Pesquisa de Preços",D467)))</formula>
    </cfRule>
  </conditionalFormatting>
  <conditionalFormatting sqref="D623">
    <cfRule type="containsText" dxfId="1087" priority="1039" operator="containsText" text="Pesquisa de Preços">
      <formula>NOT(ISERROR(SEARCH("Pesquisa de Preços",D623)))</formula>
    </cfRule>
  </conditionalFormatting>
  <conditionalFormatting sqref="D624:D626">
    <cfRule type="containsText" dxfId="1086" priority="1038" operator="containsText" text="Pesquisa de Preços">
      <formula>NOT(ISERROR(SEARCH("Pesquisa de Preços",D624)))</formula>
    </cfRule>
  </conditionalFormatting>
  <conditionalFormatting sqref="D725:D726">
    <cfRule type="containsText" dxfId="1085" priority="1037" operator="containsText" text="Pesquisa de Preços">
      <formula>NOT(ISERROR(SEARCH("Pesquisa de Preços",D725)))</formula>
    </cfRule>
  </conditionalFormatting>
  <conditionalFormatting sqref="D724">
    <cfRule type="containsText" dxfId="1084" priority="1036" operator="containsText" text="Pesquisa de Preços">
      <formula>NOT(ISERROR(SEARCH("Pesquisa de Preços",D724)))</formula>
    </cfRule>
  </conditionalFormatting>
  <conditionalFormatting sqref="D989">
    <cfRule type="containsText" dxfId="1083" priority="1035" operator="containsText" text="Pesquisa de Preços">
      <formula>NOT(ISERROR(SEARCH("Pesquisa de Preços",D989)))</formula>
    </cfRule>
  </conditionalFormatting>
  <conditionalFormatting sqref="D607 D614">
    <cfRule type="containsText" dxfId="1082" priority="1019" operator="containsText" text="Pesquisa de Preços">
      <formula>NOT(ISERROR(SEARCH("Pesquisa de Preços",D607)))</formula>
    </cfRule>
  </conditionalFormatting>
  <conditionalFormatting sqref="D729">
    <cfRule type="containsText" dxfId="1081" priority="1015" operator="containsText" text="Pesquisa de Preços">
      <formula>NOT(ISERROR(SEARCH("Pesquisa de Preços",D729)))</formula>
    </cfRule>
  </conditionalFormatting>
  <conditionalFormatting sqref="D591:D593">
    <cfRule type="containsText" dxfId="1080" priority="1024" operator="containsText" text="Pesquisa de Preços">
      <formula>NOT(ISERROR(SEARCH("Pesquisa de Preços",D591)))</formula>
    </cfRule>
  </conditionalFormatting>
  <conditionalFormatting sqref="D1617:D1618">
    <cfRule type="containsText" dxfId="1079" priority="1030" operator="containsText" text="Pesquisa de Preços">
      <formula>NOT(ISERROR(SEARCH("Pesquisa de Preços",D1617)))</formula>
    </cfRule>
  </conditionalFormatting>
  <conditionalFormatting sqref="D1593">
    <cfRule type="containsText" dxfId="1078" priority="1034" operator="containsText" text="Pesquisa de Preços">
      <formula>NOT(ISERROR(SEARCH("Pesquisa de Preços",D1593)))</formula>
    </cfRule>
  </conditionalFormatting>
  <conditionalFormatting sqref="D1622">
    <cfRule type="containsText" dxfId="1077" priority="1033" operator="containsText" text="Pesquisa de Preços">
      <formula>NOT(ISERROR(SEARCH("Pesquisa de Preços",D1622)))</formula>
    </cfRule>
  </conditionalFormatting>
  <conditionalFormatting sqref="D1623:D1624">
    <cfRule type="containsText" dxfId="1076" priority="1032" operator="containsText" text="Pesquisa de Preços">
      <formula>NOT(ISERROR(SEARCH("Pesquisa de Preços",D1623)))</formula>
    </cfRule>
  </conditionalFormatting>
  <conditionalFormatting sqref="D1616">
    <cfRule type="containsText" dxfId="1075" priority="1031" operator="containsText" text="Pesquisa de Preços">
      <formula>NOT(ISERROR(SEARCH("Pesquisa de Preços",D1616)))</formula>
    </cfRule>
  </conditionalFormatting>
  <conditionalFormatting sqref="D1882 D1884">
    <cfRule type="containsText" dxfId="1074" priority="1029" operator="containsText" text="Pesquisa de Preços">
      <formula>NOT(ISERROR(SEARCH("Pesquisa de Preços",D1882)))</formula>
    </cfRule>
  </conditionalFormatting>
  <conditionalFormatting sqref="D1883">
    <cfRule type="containsText" dxfId="1073" priority="1028" operator="containsText" text="Pesquisa de Preços">
      <formula>NOT(ISERROR(SEARCH("Pesquisa de Preços",D1883)))</formula>
    </cfRule>
  </conditionalFormatting>
  <conditionalFormatting sqref="D1876 D1878">
    <cfRule type="containsText" dxfId="1072" priority="1027" operator="containsText" text="Pesquisa de Preços">
      <formula>NOT(ISERROR(SEARCH("Pesquisa de Preços",D1876)))</formula>
    </cfRule>
  </conditionalFormatting>
  <conditionalFormatting sqref="D1877">
    <cfRule type="containsText" dxfId="1071" priority="1026" operator="containsText" text="Pesquisa de Preços">
      <formula>NOT(ISERROR(SEARCH("Pesquisa de Preços",D1877)))</formula>
    </cfRule>
  </conditionalFormatting>
  <conditionalFormatting sqref="D382:D392">
    <cfRule type="containsText" dxfId="1070" priority="1022" operator="containsText" text="Pesquisa de Preços">
      <formula>NOT(ISERROR(SEARCH("Pesquisa de Preços",D382)))</formula>
    </cfRule>
  </conditionalFormatting>
  <conditionalFormatting sqref="D381">
    <cfRule type="containsText" dxfId="1069" priority="1023" operator="containsText" text="Pesquisa de Preços">
      <formula>NOT(ISERROR(SEARCH("Pesquisa de Preços",D381)))</formula>
    </cfRule>
  </conditionalFormatting>
  <conditionalFormatting sqref="D1063:D1064">
    <cfRule type="containsText" dxfId="1068" priority="923" operator="containsText" text="Pesquisa de Preços">
      <formula>NOT(ISERROR(SEARCH("Pesquisa de Preços",D1063)))</formula>
    </cfRule>
  </conditionalFormatting>
  <conditionalFormatting sqref="D605">
    <cfRule type="containsText" dxfId="1067" priority="1021" operator="containsText" text="Pesquisa de Preços">
      <formula>NOT(ISERROR(SEARCH("Pesquisa de Preços",D605)))</formula>
    </cfRule>
  </conditionalFormatting>
  <conditionalFormatting sqref="D597">
    <cfRule type="containsText" dxfId="1066" priority="1020" operator="containsText" text="Pesquisa de Preços">
      <formula>NOT(ISERROR(SEARCH("Pesquisa de Preços",D597)))</formula>
    </cfRule>
  </conditionalFormatting>
  <conditionalFormatting sqref="D1076:D1078 D1080">
    <cfRule type="containsText" dxfId="1065" priority="922" operator="containsText" text="Pesquisa de Preços">
      <formula>NOT(ISERROR(SEARCH("Pesquisa de Preços",D1076)))</formula>
    </cfRule>
  </conditionalFormatting>
  <conditionalFormatting sqref="D598">
    <cfRule type="containsText" dxfId="1064" priority="1018" operator="containsText" text="Pesquisa de Preços">
      <formula>NOT(ISERROR(SEARCH("Pesquisa de Preços",D598)))</formula>
    </cfRule>
  </conditionalFormatting>
  <conditionalFormatting sqref="D608">
    <cfRule type="containsText" dxfId="1063" priority="1017" operator="containsText" text="Pesquisa de Preços">
      <formula>NOT(ISERROR(SEARCH("Pesquisa de Preços",D608)))</formula>
    </cfRule>
  </conditionalFormatting>
  <conditionalFormatting sqref="D631">
    <cfRule type="containsText" dxfId="1062" priority="1012" operator="containsText" text="Pesquisa de Preços">
      <formula>NOT(ISERROR(SEARCH("Pesquisa de Preços",D631)))</formula>
    </cfRule>
  </conditionalFormatting>
  <conditionalFormatting sqref="D630 D635:D636">
    <cfRule type="containsText" dxfId="1061" priority="1013" operator="containsText" text="Pesquisa de Preços">
      <formula>NOT(ISERROR(SEARCH("Pesquisa de Preços",D630)))</formula>
    </cfRule>
  </conditionalFormatting>
  <conditionalFormatting sqref="D1249 D1253:D1254">
    <cfRule type="containsText" dxfId="1060" priority="1009" operator="containsText" text="Pesquisa de Preços">
      <formula>NOT(ISERROR(SEARCH("Pesquisa de Preços",D1249)))</formula>
    </cfRule>
  </conditionalFormatting>
  <conditionalFormatting sqref="D632:D634">
    <cfRule type="containsText" dxfId="1059" priority="1011" operator="containsText" text="Pesquisa de Preços">
      <formula>NOT(ISERROR(SEARCH("Pesquisa de Preços",D632)))</formula>
    </cfRule>
  </conditionalFormatting>
  <conditionalFormatting sqref="D1251">
    <cfRule type="containsText" dxfId="1058" priority="1008" operator="containsText" text="Pesquisa de Preços">
      <formula>NOT(ISERROR(SEARCH("Pesquisa de Preços",D1251)))</formula>
    </cfRule>
  </conditionalFormatting>
  <conditionalFormatting sqref="D1151 D1155:D1156">
    <cfRule type="containsText" dxfId="1057" priority="1006" operator="containsText" text="Pesquisa de Preços">
      <formula>NOT(ISERROR(SEARCH("Pesquisa de Preços",D1151)))</formula>
    </cfRule>
  </conditionalFormatting>
  <conditionalFormatting sqref="D1207 D1211:D1212">
    <cfRule type="containsText" dxfId="1056" priority="1004" operator="containsText" text="Pesquisa de Preços">
      <formula>NOT(ISERROR(SEARCH("Pesquisa de Preços",D1207)))</formula>
    </cfRule>
  </conditionalFormatting>
  <conditionalFormatting sqref="D1210">
    <cfRule type="containsText" dxfId="1055" priority="1003" operator="containsText" text="Pesquisa de Preços">
      <formula>NOT(ISERROR(SEARCH("Pesquisa de Preços",D1210)))</formula>
    </cfRule>
  </conditionalFormatting>
  <conditionalFormatting sqref="D670">
    <cfRule type="containsText" dxfId="1054" priority="1002" operator="containsText" text="Pesquisa de Preços">
      <formula>NOT(ISERROR(SEARCH("Pesquisa de Preços",D670)))</formula>
    </cfRule>
  </conditionalFormatting>
  <conditionalFormatting sqref="D730">
    <cfRule type="containsText" dxfId="1053" priority="1001" operator="containsText" text="Pesquisa de Preços">
      <formula>NOT(ISERROR(SEARCH("Pesquisa de Preços",D730)))</formula>
    </cfRule>
  </conditionalFormatting>
  <conditionalFormatting sqref="D857 D859:D860">
    <cfRule type="containsText" dxfId="1052" priority="998" operator="containsText" text="Pesquisa de Preços">
      <formula>NOT(ISERROR(SEARCH("Pesquisa de Preços",D857)))</formula>
    </cfRule>
  </conditionalFormatting>
  <conditionalFormatting sqref="D858">
    <cfRule type="containsText" dxfId="1051" priority="997" operator="containsText" text="Pesquisa de Preços">
      <formula>NOT(ISERROR(SEARCH("Pesquisa de Preços",D858)))</formula>
    </cfRule>
  </conditionalFormatting>
  <conditionalFormatting sqref="D1292">
    <cfRule type="containsText" dxfId="1050" priority="996" operator="containsText" text="Pesquisa de Preços">
      <formula>NOT(ISERROR(SEARCH("Pesquisa de Preços",D1292)))</formula>
    </cfRule>
  </conditionalFormatting>
  <conditionalFormatting sqref="D1343">
    <cfRule type="containsText" dxfId="1049" priority="993" operator="containsText" text="Pesquisa de Preços">
      <formula>NOT(ISERROR(SEARCH("Pesquisa de Preços",D1343)))</formula>
    </cfRule>
  </conditionalFormatting>
  <conditionalFormatting sqref="D1502">
    <cfRule type="containsText" dxfId="1048" priority="921" operator="containsText" text="Pesquisa de Preços">
      <formula>NOT(ISERROR(SEARCH("Pesquisa de Preços",D1502)))</formula>
    </cfRule>
  </conditionalFormatting>
  <conditionalFormatting sqref="D207">
    <cfRule type="containsText" dxfId="1047" priority="990" operator="containsText" text="Pesquisa de Preços">
      <formula>NOT(ISERROR(SEARCH("Pesquisa de Preços",D207)))</formula>
    </cfRule>
  </conditionalFormatting>
  <conditionalFormatting sqref="D1611">
    <cfRule type="containsText" dxfId="1046" priority="986" operator="containsText" text="Pesquisa de Preços">
      <formula>NOT(ISERROR(SEARCH("Pesquisa de Preços",D1611)))</formula>
    </cfRule>
  </conditionalFormatting>
  <conditionalFormatting sqref="D1604">
    <cfRule type="containsText" dxfId="1045" priority="982" operator="containsText" text="Pesquisa de Preços">
      <formula>NOT(ISERROR(SEARCH("Pesquisa de Preços",D1604)))</formula>
    </cfRule>
  </conditionalFormatting>
  <conditionalFormatting sqref="D1667">
    <cfRule type="containsText" dxfId="1044" priority="980" operator="containsText" text="Pesquisa de Preços">
      <formula>NOT(ISERROR(SEARCH("Pesquisa de Preços",D1667)))</formula>
    </cfRule>
  </conditionalFormatting>
  <conditionalFormatting sqref="D1606">
    <cfRule type="containsText" dxfId="1043" priority="978" operator="containsText" text="Pesquisa de Preços">
      <formula>NOT(ISERROR(SEARCH("Pesquisa de Preços",D1606)))</formula>
    </cfRule>
  </conditionalFormatting>
  <conditionalFormatting sqref="D141">
    <cfRule type="containsText" dxfId="1042" priority="977" operator="containsText" text="Pesquisa de Preços">
      <formula>NOT(ISERROR(SEARCH("Pesquisa de Preços",D141)))</formula>
    </cfRule>
  </conditionalFormatting>
  <conditionalFormatting sqref="D794">
    <cfRule type="containsText" dxfId="1041" priority="976" operator="containsText" text="Pesquisa de Preços">
      <formula>NOT(ISERROR(SEARCH("Pesquisa de Preços",D794)))</formula>
    </cfRule>
  </conditionalFormatting>
  <conditionalFormatting sqref="D997">
    <cfRule type="containsText" dxfId="1040" priority="975" operator="containsText" text="Pesquisa de Preços">
      <formula>NOT(ISERROR(SEARCH("Pesquisa de Preços",D997)))</formula>
    </cfRule>
  </conditionalFormatting>
  <conditionalFormatting sqref="D1002">
    <cfRule type="containsText" dxfId="1039" priority="974" operator="containsText" text="Pesquisa de Preços">
      <formula>NOT(ISERROR(SEARCH("Pesquisa de Preços",D1002)))</formula>
    </cfRule>
  </conditionalFormatting>
  <conditionalFormatting sqref="D89">
    <cfRule type="containsText" dxfId="1038" priority="973" operator="containsText" text="Pesquisa de Preços">
      <formula>NOT(ISERROR(SEARCH("Pesquisa de Preços",D89)))</formula>
    </cfRule>
  </conditionalFormatting>
  <conditionalFormatting sqref="D90">
    <cfRule type="containsText" dxfId="1037" priority="972" operator="containsText" text="Pesquisa de Preços">
      <formula>NOT(ISERROR(SEARCH("Pesquisa de Preços",D90)))</formula>
    </cfRule>
  </conditionalFormatting>
  <conditionalFormatting sqref="D1450">
    <cfRule type="containsText" dxfId="1036" priority="920" operator="containsText" text="Pesquisa de Preços">
      <formula>NOT(ISERROR(SEARCH("Pesquisa de Preços",D1450)))</formula>
    </cfRule>
  </conditionalFormatting>
  <conditionalFormatting sqref="D113">
    <cfRule type="containsText" dxfId="1035" priority="971" operator="containsText" text="Pesquisa de Preços">
      <formula>NOT(ISERROR(SEARCH("Pesquisa de Preços",D113)))</formula>
    </cfRule>
  </conditionalFormatting>
  <conditionalFormatting sqref="D114">
    <cfRule type="containsText" dxfId="1034" priority="970" operator="containsText" text="Pesquisa de Preços">
      <formula>NOT(ISERROR(SEARCH("Pesquisa de Preços",D114)))</formula>
    </cfRule>
  </conditionalFormatting>
  <conditionalFormatting sqref="D1473">
    <cfRule type="containsText" dxfId="1033" priority="919" operator="containsText" text="Pesquisa de Preços">
      <formula>NOT(ISERROR(SEARCH("Pesquisa de Preços",D1473)))</formula>
    </cfRule>
  </conditionalFormatting>
  <conditionalFormatting sqref="D1685:D1686">
    <cfRule type="containsText" dxfId="1032" priority="969" operator="containsText" text="Pesquisa de Preços">
      <formula>NOT(ISERROR(SEARCH("Pesquisa de Preços",D1685)))</formula>
    </cfRule>
  </conditionalFormatting>
  <conditionalFormatting sqref="D1651">
    <cfRule type="containsText" dxfId="1031" priority="968" operator="containsText" text="Pesquisa de Preços">
      <formula>NOT(ISERROR(SEARCH("Pesquisa de Preços",D1651)))</formula>
    </cfRule>
  </conditionalFormatting>
  <conditionalFormatting sqref="D1734">
    <cfRule type="containsText" dxfId="1030" priority="967" operator="containsText" text="Pesquisa de Preços">
      <formula>NOT(ISERROR(SEARCH("Pesquisa de Preços",D1734)))</formula>
    </cfRule>
  </conditionalFormatting>
  <conditionalFormatting sqref="D1713">
    <cfRule type="containsText" dxfId="1029" priority="966" operator="containsText" text="Pesquisa de Preços">
      <formula>NOT(ISERROR(SEARCH("Pesquisa de Preços",D1713)))</formula>
    </cfRule>
  </conditionalFormatting>
  <conditionalFormatting sqref="D1698">
    <cfRule type="containsText" dxfId="1028" priority="964" operator="containsText" text="Pesquisa de Preços">
      <formula>NOT(ISERROR(SEARCH("Pesquisa de Preços",D1698)))</formula>
    </cfRule>
  </conditionalFormatting>
  <conditionalFormatting sqref="D1699">
    <cfRule type="containsText" dxfId="1027" priority="963" operator="containsText" text="Pesquisa de Preços">
      <formula>NOT(ISERROR(SEARCH("Pesquisa de Preços",D1699)))</formula>
    </cfRule>
  </conditionalFormatting>
  <conditionalFormatting sqref="D1815">
    <cfRule type="containsText" dxfId="1026" priority="962" operator="containsText" text="Pesquisa de Preços">
      <formula>NOT(ISERROR(SEARCH("Pesquisa de Preços",D1815)))</formula>
    </cfRule>
  </conditionalFormatting>
  <conditionalFormatting sqref="D1822">
    <cfRule type="containsText" dxfId="1025" priority="961" operator="containsText" text="Pesquisa de Preços">
      <formula>NOT(ISERROR(SEARCH("Pesquisa de Preços",D1822)))</formula>
    </cfRule>
  </conditionalFormatting>
  <conditionalFormatting sqref="D1821">
    <cfRule type="containsText" dxfId="1024" priority="960" operator="containsText" text="Pesquisa de Preços">
      <formula>NOT(ISERROR(SEARCH("Pesquisa de Preços",D1821)))</formula>
    </cfRule>
  </conditionalFormatting>
  <conditionalFormatting sqref="D1829">
    <cfRule type="containsText" dxfId="1023" priority="959" operator="containsText" text="Pesquisa de Preços">
      <formula>NOT(ISERROR(SEARCH("Pesquisa de Preços",D1829)))</formula>
    </cfRule>
  </conditionalFormatting>
  <conditionalFormatting sqref="D1828">
    <cfRule type="containsText" dxfId="1022" priority="958" operator="containsText" text="Pesquisa de Preços">
      <formula>NOT(ISERROR(SEARCH("Pesquisa de Preços",D1828)))</formula>
    </cfRule>
  </conditionalFormatting>
  <conditionalFormatting sqref="D1911">
    <cfRule type="containsText" dxfId="1021" priority="956" operator="containsText" text="Pesquisa de Preços">
      <formula>NOT(ISERROR(SEARCH("Pesquisa de Preços",D1911)))</formula>
    </cfRule>
  </conditionalFormatting>
  <conditionalFormatting sqref="D833">
    <cfRule type="containsText" dxfId="1020" priority="955" operator="containsText" text="Pesquisa de Preços">
      <formula>NOT(ISERROR(SEARCH("Pesquisa de Preços",D833)))</formula>
    </cfRule>
  </conditionalFormatting>
  <conditionalFormatting sqref="D2363">
    <cfRule type="containsText" dxfId="1019" priority="953" operator="containsText" text="Pesquisa de Preços">
      <formula>NOT(ISERROR(SEARCH("Pesquisa de Preços",D2363)))</formula>
    </cfRule>
  </conditionalFormatting>
  <conditionalFormatting sqref="D2362">
    <cfRule type="containsText" dxfId="1018" priority="952" operator="containsText" text="Pesquisa de Preços">
      <formula>NOT(ISERROR(SEARCH("Pesquisa de Preços",D2362)))</formula>
    </cfRule>
  </conditionalFormatting>
  <conditionalFormatting sqref="D2241">
    <cfRule type="containsText" dxfId="1017" priority="951" operator="containsText" text="Pesquisa de Preços">
      <formula>NOT(ISERROR(SEARCH("Pesquisa de Preços",D2241)))</formula>
    </cfRule>
  </conditionalFormatting>
  <conditionalFormatting sqref="D2240">
    <cfRule type="containsText" dxfId="1016" priority="950" operator="containsText" text="Pesquisa de Preços">
      <formula>NOT(ISERROR(SEARCH("Pesquisa de Preços",D2240)))</formula>
    </cfRule>
  </conditionalFormatting>
  <conditionalFormatting sqref="D2355">
    <cfRule type="containsText" dxfId="1015" priority="949" operator="containsText" text="Pesquisa de Preços">
      <formula>NOT(ISERROR(SEARCH("Pesquisa de Preços",D2355)))</formula>
    </cfRule>
  </conditionalFormatting>
  <conditionalFormatting sqref="D2356">
    <cfRule type="containsText" dxfId="1014" priority="948" operator="containsText" text="Pesquisa de Preços">
      <formula>NOT(ISERROR(SEARCH("Pesquisa de Preços",D2356)))</formula>
    </cfRule>
  </conditionalFormatting>
  <conditionalFormatting sqref="D132">
    <cfRule type="containsText" dxfId="1013" priority="947" operator="containsText" text="Pesquisa de Preços">
      <formula>NOT(ISERROR(SEARCH("Pesquisa de Preços",D132)))</formula>
    </cfRule>
  </conditionalFormatting>
  <conditionalFormatting sqref="D1633">
    <cfRule type="containsText" dxfId="1012" priority="946" operator="containsText" text="Pesquisa de Preços">
      <formula>NOT(ISERROR(SEARCH("Pesquisa de Preços",D1633)))</formula>
    </cfRule>
  </conditionalFormatting>
  <conditionalFormatting sqref="D1634">
    <cfRule type="containsText" dxfId="1011" priority="945" operator="containsText" text="Pesquisa de Preços">
      <formula>NOT(ISERROR(SEARCH("Pesquisa de Preços",D1634)))</formula>
    </cfRule>
  </conditionalFormatting>
  <conditionalFormatting sqref="D1949">
    <cfRule type="containsText" dxfId="1010" priority="918" operator="containsText" text="Pesquisa de Preços">
      <formula>NOT(ISERROR(SEARCH("Pesquisa de Preços",D1949)))</formula>
    </cfRule>
  </conditionalFormatting>
  <conditionalFormatting sqref="D80">
    <cfRule type="containsText" dxfId="1009" priority="944" operator="containsText" text="Pesquisa de Preços">
      <formula>NOT(ISERROR(SEARCH("Pesquisa de Preços",D80)))</formula>
    </cfRule>
  </conditionalFormatting>
  <conditionalFormatting sqref="D1127">
    <cfRule type="containsText" dxfId="1008" priority="943" operator="containsText" text="Pesquisa de Preços">
      <formula>NOT(ISERROR(SEARCH("Pesquisa de Preços",D1127)))</formula>
    </cfRule>
  </conditionalFormatting>
  <conditionalFormatting sqref="D403:D413">
    <cfRule type="containsText" dxfId="1007" priority="942" operator="containsText" text="Pesquisa de Preços">
      <formula>NOT(ISERROR(SEARCH("Pesquisa de Preços",D403)))</formula>
    </cfRule>
  </conditionalFormatting>
  <conditionalFormatting sqref="D417">
    <cfRule type="containsText" dxfId="1006" priority="941" operator="containsText" text="Pesquisa de Preços">
      <formula>NOT(ISERROR(SEARCH("Pesquisa de Preços",D417)))</formula>
    </cfRule>
  </conditionalFormatting>
  <conditionalFormatting sqref="D418">
    <cfRule type="containsText" dxfId="1005" priority="940" operator="containsText" text="Pesquisa de Preços">
      <formula>NOT(ISERROR(SEARCH("Pesquisa de Preços",D418)))</formula>
    </cfRule>
  </conditionalFormatting>
  <conditionalFormatting sqref="D417">
    <cfRule type="containsText" dxfId="1004" priority="939" operator="containsText" text="Pesquisa de Preços">
      <formula>NOT(ISERROR(SEARCH("Pesquisa de Preços",D417)))</formula>
    </cfRule>
  </conditionalFormatting>
  <conditionalFormatting sqref="D418">
    <cfRule type="containsText" dxfId="1003" priority="938" operator="containsText" text="Pesquisa de Preços">
      <formula>NOT(ISERROR(SEARCH("Pesquisa de Preços",D418)))</formula>
    </cfRule>
  </conditionalFormatting>
  <conditionalFormatting sqref="D419:D420">
    <cfRule type="containsText" dxfId="1002" priority="937" operator="containsText" text="Pesquisa de Preços">
      <formula>NOT(ISERROR(SEARCH("Pesquisa de Preços",D419)))</formula>
    </cfRule>
  </conditionalFormatting>
  <conditionalFormatting sqref="D194">
    <cfRule type="containsText" dxfId="1001" priority="936" operator="containsText" text="Pesquisa de Preços">
      <formula>NOT(ISERROR(SEARCH("Pesquisa de Preços",D194)))</formula>
    </cfRule>
  </conditionalFormatting>
  <conditionalFormatting sqref="D826:D830">
    <cfRule type="containsText" dxfId="1000" priority="935" operator="containsText" text="Pesquisa de Preços">
      <formula>NOT(ISERROR(SEARCH("Pesquisa de Preços",D826)))</formula>
    </cfRule>
  </conditionalFormatting>
  <conditionalFormatting sqref="D826:D830">
    <cfRule type="containsText" dxfId="999" priority="934" operator="containsText" text="Pesquisa de Preços">
      <formula>NOT(ISERROR(SEARCH("Pesquisa de Preços",D826)))</formula>
    </cfRule>
  </conditionalFormatting>
  <conditionalFormatting sqref="D1921">
    <cfRule type="containsText" dxfId="998" priority="933" operator="containsText" text="Pesquisa de Preços">
      <formula>NOT(ISERROR(SEARCH("Pesquisa de Preços",D1921)))</formula>
    </cfRule>
  </conditionalFormatting>
  <conditionalFormatting sqref="D1922">
    <cfRule type="containsText" dxfId="997" priority="932" operator="containsText" text="Pesquisa de Preços">
      <formula>NOT(ISERROR(SEARCH("Pesquisa de Preços",D1922)))</formula>
    </cfRule>
  </conditionalFormatting>
  <conditionalFormatting sqref="D804">
    <cfRule type="containsText" dxfId="996" priority="931" operator="containsText" text="Pesquisa de Preços">
      <formula>NOT(ISERROR(SEARCH("Pesquisa de Preços",D804)))</formula>
    </cfRule>
  </conditionalFormatting>
  <conditionalFormatting sqref="D761">
    <cfRule type="containsText" dxfId="995" priority="930" operator="containsText" text="Pesquisa de Preços">
      <formula>NOT(ISERROR(SEARCH("Pesquisa de Preços",D761)))</formula>
    </cfRule>
  </conditionalFormatting>
  <conditionalFormatting sqref="D760">
    <cfRule type="containsText" dxfId="994" priority="929" operator="containsText" text="Pesquisa de Preços">
      <formula>NOT(ISERROR(SEARCH("Pesquisa de Preços",D760)))</formula>
    </cfRule>
  </conditionalFormatting>
  <conditionalFormatting sqref="D844">
    <cfRule type="containsText" dxfId="993" priority="928" operator="containsText" text="Pesquisa de Preços">
      <formula>NOT(ISERROR(SEARCH("Pesquisa de Preços",D844)))</formula>
    </cfRule>
  </conditionalFormatting>
  <conditionalFormatting sqref="D863">
    <cfRule type="containsText" dxfId="992" priority="927" operator="containsText" text="Pesquisa de Preços">
      <formula>NOT(ISERROR(SEARCH("Pesquisa de Preços",D863)))</formula>
    </cfRule>
  </conditionalFormatting>
  <conditionalFormatting sqref="D865:D866">
    <cfRule type="containsText" dxfId="991" priority="926" operator="containsText" text="Pesquisa de Preços">
      <formula>NOT(ISERROR(SEARCH("Pesquisa de Preços",D865)))</formula>
    </cfRule>
  </conditionalFormatting>
  <conditionalFormatting sqref="D839">
    <cfRule type="containsText" dxfId="990" priority="925" operator="containsText" text="Pesquisa de Preços">
      <formula>NOT(ISERROR(SEARCH("Pesquisa de Preços",D839)))</formula>
    </cfRule>
  </conditionalFormatting>
  <conditionalFormatting sqref="F907">
    <cfRule type="containsText" dxfId="989" priority="924" operator="containsText" text="Pesquisa">
      <formula>NOT(ISERROR(SEARCH("Pesquisa",F907)))</formula>
    </cfRule>
  </conditionalFormatting>
  <conditionalFormatting sqref="I2714">
    <cfRule type="notContainsText" dxfId="988" priority="917" operator="notContains" text="Sinapi">
      <formula>ISERROR(SEARCH("Sinapi",I2714))</formula>
    </cfRule>
  </conditionalFormatting>
  <conditionalFormatting sqref="I2719">
    <cfRule type="notContainsText" dxfId="987" priority="916" operator="notContains" text="Sinapi">
      <formula>ISERROR(SEARCH("Sinapi",I2719))</formula>
    </cfRule>
  </conditionalFormatting>
  <conditionalFormatting sqref="I2724">
    <cfRule type="notContainsText" dxfId="986" priority="915" operator="notContains" text="Sinapi">
      <formula>ISERROR(SEARCH("Sinapi",I2724))</formula>
    </cfRule>
  </conditionalFormatting>
  <conditionalFormatting sqref="I2729">
    <cfRule type="notContainsText" dxfId="985" priority="914" operator="notContains" text="Sinapi">
      <formula>ISERROR(SEARCH("Sinapi",I2729))</formula>
    </cfRule>
  </conditionalFormatting>
  <conditionalFormatting sqref="I2734">
    <cfRule type="notContainsText" dxfId="984" priority="913" operator="notContains" text="Sinapi">
      <formula>ISERROR(SEARCH("Sinapi",I2734))</formula>
    </cfRule>
  </conditionalFormatting>
  <conditionalFormatting sqref="I2739">
    <cfRule type="notContainsText" dxfId="983" priority="912" operator="notContains" text="Sinapi">
      <formula>ISERROR(SEARCH("Sinapi",I2739))</formula>
    </cfRule>
  </conditionalFormatting>
  <conditionalFormatting sqref="I2744">
    <cfRule type="notContainsText" dxfId="982" priority="911" operator="notContains" text="Sinapi">
      <formula>ISERROR(SEARCH("Sinapi",I2744))</formula>
    </cfRule>
  </conditionalFormatting>
  <conditionalFormatting sqref="I2749">
    <cfRule type="notContainsText" dxfId="981" priority="910" operator="notContains" text="Sinapi">
      <formula>ISERROR(SEARCH("Sinapi",I2749))</formula>
    </cfRule>
  </conditionalFormatting>
  <conditionalFormatting sqref="I2766">
    <cfRule type="notContainsText" dxfId="980" priority="908" operator="notContains" text="Sinapi">
      <formula>ISERROR(SEARCH("Sinapi",I2766))</formula>
    </cfRule>
  </conditionalFormatting>
  <conditionalFormatting sqref="I2761">
    <cfRule type="notContainsText" dxfId="979" priority="909" operator="notContains" text="Sinapi">
      <formula>ISERROR(SEARCH("Sinapi",I2761))</formula>
    </cfRule>
  </conditionalFormatting>
  <conditionalFormatting sqref="I2771">
    <cfRule type="notContainsText" dxfId="978" priority="907" operator="notContains" text="Sinapi">
      <formula>ISERROR(SEARCH("Sinapi",I2771))</formula>
    </cfRule>
  </conditionalFormatting>
  <conditionalFormatting sqref="I2776">
    <cfRule type="notContainsText" dxfId="977" priority="906" operator="notContains" text="Sinapi">
      <formula>ISERROR(SEARCH("Sinapi",I2776))</formula>
    </cfRule>
  </conditionalFormatting>
  <conditionalFormatting sqref="I2781">
    <cfRule type="notContainsText" dxfId="976" priority="905" operator="notContains" text="Sinapi">
      <formula>ISERROR(SEARCH("Sinapi",I2781))</formula>
    </cfRule>
  </conditionalFormatting>
  <conditionalFormatting sqref="I2786">
    <cfRule type="notContainsText" dxfId="975" priority="904" operator="notContains" text="Sinapi">
      <formula>ISERROR(SEARCH("Sinapi",I2786))</formula>
    </cfRule>
  </conditionalFormatting>
  <conditionalFormatting sqref="I2791">
    <cfRule type="notContainsText" dxfId="974" priority="903" operator="notContains" text="Sinapi">
      <formula>ISERROR(SEARCH("Sinapi",I2791))</formula>
    </cfRule>
  </conditionalFormatting>
  <conditionalFormatting sqref="I2796">
    <cfRule type="notContainsText" dxfId="973" priority="902" operator="notContains" text="Sinapi">
      <formula>ISERROR(SEARCH("Sinapi",I2796))</formula>
    </cfRule>
  </conditionalFormatting>
  <conditionalFormatting sqref="I2801">
    <cfRule type="notContainsText" dxfId="972" priority="901" operator="notContains" text="Sinapi">
      <formula>ISERROR(SEARCH("Sinapi",I2801))</formula>
    </cfRule>
  </conditionalFormatting>
  <conditionalFormatting sqref="I2814">
    <cfRule type="notContainsText" dxfId="971" priority="900" operator="notContains" text="Sinapi">
      <formula>ISERROR(SEARCH("Sinapi",I2814))</formula>
    </cfRule>
  </conditionalFormatting>
  <conditionalFormatting sqref="I2838">
    <cfRule type="notContainsText" dxfId="970" priority="899" operator="notContains" text="Sinapi">
      <formula>ISERROR(SEARCH("Sinapi",I2838))</formula>
    </cfRule>
  </conditionalFormatting>
  <conditionalFormatting sqref="I2851">
    <cfRule type="notContainsText" dxfId="969" priority="898" operator="notContains" text="Sinapi">
      <formula>ISERROR(SEARCH("Sinapi",I2851))</formula>
    </cfRule>
  </conditionalFormatting>
  <conditionalFormatting sqref="I2856">
    <cfRule type="notContainsText" dxfId="968" priority="897" operator="notContains" text="Sinapi">
      <formula>ISERROR(SEARCH("Sinapi",I2856))</formula>
    </cfRule>
  </conditionalFormatting>
  <conditionalFormatting sqref="I2861">
    <cfRule type="notContainsText" dxfId="967" priority="896" operator="notContains" text="Sinapi">
      <formula>ISERROR(SEARCH("Sinapi",I2861))</formula>
    </cfRule>
  </conditionalFormatting>
  <conditionalFormatting sqref="I2866">
    <cfRule type="notContainsText" dxfId="966" priority="895" operator="notContains" text="Sinapi">
      <formula>ISERROR(SEARCH("Sinapi",I2866))</formula>
    </cfRule>
  </conditionalFormatting>
  <conditionalFormatting sqref="I2871">
    <cfRule type="notContainsText" dxfId="965" priority="894" operator="notContains" text="Sinapi">
      <formula>ISERROR(SEARCH("Sinapi",I2871))</formula>
    </cfRule>
  </conditionalFormatting>
  <conditionalFormatting sqref="I2876">
    <cfRule type="notContainsText" dxfId="964" priority="893" operator="notContains" text="Sinapi">
      <formula>ISERROR(SEARCH("Sinapi",I2876))</formula>
    </cfRule>
  </conditionalFormatting>
  <conditionalFormatting sqref="I2881">
    <cfRule type="notContainsText" dxfId="963" priority="892" operator="notContains" text="Sinapi">
      <formula>ISERROR(SEARCH("Sinapi",I2881))</formula>
    </cfRule>
  </conditionalFormatting>
  <conditionalFormatting sqref="I2886">
    <cfRule type="notContainsText" dxfId="962" priority="891" operator="notContains" text="Sinapi">
      <formula>ISERROR(SEARCH("Sinapi",I2886))</formula>
    </cfRule>
  </conditionalFormatting>
  <conditionalFormatting sqref="I2891">
    <cfRule type="notContainsText" dxfId="961" priority="890" operator="notContains" text="Sinapi">
      <formula>ISERROR(SEARCH("Sinapi",I2891))</formula>
    </cfRule>
  </conditionalFormatting>
  <conditionalFormatting sqref="I2935">
    <cfRule type="notContainsText" dxfId="960" priority="889" operator="notContains" text="Sinapi">
      <formula>ISERROR(SEARCH("Sinapi",I2935))</formula>
    </cfRule>
  </conditionalFormatting>
  <conditionalFormatting sqref="I3115">
    <cfRule type="notContainsText" dxfId="959" priority="888" operator="notContains" text="Sinapi">
      <formula>ISERROR(SEARCH("Sinapi",I3115))</formula>
    </cfRule>
  </conditionalFormatting>
  <conditionalFormatting sqref="I3134">
    <cfRule type="notContainsText" dxfId="958" priority="887" operator="notContains" text="Sinapi">
      <formula>ISERROR(SEARCH("Sinapi",I3134))</formula>
    </cfRule>
  </conditionalFormatting>
  <conditionalFormatting sqref="I3145">
    <cfRule type="notContainsText" dxfId="957" priority="886" operator="notContains" text="Sinapi">
      <formula>ISERROR(SEARCH("Sinapi",I3145))</formula>
    </cfRule>
  </conditionalFormatting>
  <conditionalFormatting sqref="I3149">
    <cfRule type="notContainsText" dxfId="956" priority="885" operator="notContains" text="Sinapi">
      <formula>ISERROR(SEARCH("Sinapi",I3149))</formula>
    </cfRule>
  </conditionalFormatting>
  <conditionalFormatting sqref="F908:F912">
    <cfRule type="containsText" dxfId="955" priority="884" operator="containsText" text="Pesquisa">
      <formula>NOT(ISERROR(SEARCH("Pesquisa",F908)))</formula>
    </cfRule>
  </conditionalFormatting>
  <conditionalFormatting sqref="D171:D172">
    <cfRule type="containsText" dxfId="954" priority="864" operator="containsText" text="Pesquisa de Preços">
      <formula>NOT(ISERROR(SEARCH("Pesquisa de Preços",D171)))</formula>
    </cfRule>
  </conditionalFormatting>
  <conditionalFormatting sqref="I2827">
    <cfRule type="notContainsText" dxfId="953" priority="863" operator="notContains" text="Sinapi">
      <formula>ISERROR(SEARCH("Sinapi",I2827))</formula>
    </cfRule>
  </conditionalFormatting>
  <conditionalFormatting sqref="E18 E3148 E261 E2382">
    <cfRule type="containsText" dxfId="952" priority="854" operator="containsText" text="Pesquisa de Preços">
      <formula>NOT(ISERROR(SEARCH("Pesquisa de Preços",E18)))</formula>
    </cfRule>
  </conditionalFormatting>
  <conditionalFormatting sqref="E9">
    <cfRule type="containsText" dxfId="951" priority="853" operator="containsText" text="Pesquisa de Preços">
      <formula>NOT(ISERROR(SEARCH("Pesquisa de Preços",E9)))</formula>
    </cfRule>
  </conditionalFormatting>
  <conditionalFormatting sqref="E7">
    <cfRule type="containsText" dxfId="950" priority="852" operator="containsText" text="Pesquisa de Preços">
      <formula>NOT(ISERROR(SEARCH("Pesquisa de Preços",E7)))</formula>
    </cfRule>
  </conditionalFormatting>
  <conditionalFormatting sqref="E6">
    <cfRule type="containsText" dxfId="949" priority="851" operator="containsText" text="Pesquisa de Preços">
      <formula>NOT(ISERROR(SEARCH("Pesquisa de Preços",E6)))</formula>
    </cfRule>
  </conditionalFormatting>
  <conditionalFormatting sqref="E8">
    <cfRule type="containsText" dxfId="948" priority="850" operator="containsText" text="Pesquisa de Preços">
      <formula>NOT(ISERROR(SEARCH("Pesquisa de Preços",E8)))</formula>
    </cfRule>
  </conditionalFormatting>
  <conditionalFormatting sqref="E15">
    <cfRule type="containsText" dxfId="947" priority="849" operator="containsText" text="Pesquisa de Preços">
      <formula>NOT(ISERROR(SEARCH("Pesquisa de Preços",E15)))</formula>
    </cfRule>
  </conditionalFormatting>
  <conditionalFormatting sqref="E14">
    <cfRule type="containsText" dxfId="946" priority="848" operator="containsText" text="Pesquisa de Preços">
      <formula>NOT(ISERROR(SEARCH("Pesquisa de Preços",E14)))</formula>
    </cfRule>
  </conditionalFormatting>
  <conditionalFormatting sqref="E16">
    <cfRule type="containsText" dxfId="945" priority="847" operator="containsText" text="Pesquisa de Preços">
      <formula>NOT(ISERROR(SEARCH("Pesquisa de Preços",E16)))</formula>
    </cfRule>
  </conditionalFormatting>
  <conditionalFormatting sqref="E12">
    <cfRule type="containsText" dxfId="944" priority="846" operator="containsText" text="Pesquisa de Preços">
      <formula>NOT(ISERROR(SEARCH("Pesquisa de Preços",E12)))</formula>
    </cfRule>
  </conditionalFormatting>
  <conditionalFormatting sqref="E10">
    <cfRule type="containsText" dxfId="943" priority="843" operator="containsText" text="Pesquisa de Preços">
      <formula>NOT(ISERROR(SEARCH("Pesquisa de Preços",E10)))</formula>
    </cfRule>
  </conditionalFormatting>
  <conditionalFormatting sqref="E13">
    <cfRule type="containsText" dxfId="942" priority="845" operator="containsText" text="Pesquisa de Preços">
      <formula>NOT(ISERROR(SEARCH("Pesquisa de Preços",E13)))</formula>
    </cfRule>
  </conditionalFormatting>
  <conditionalFormatting sqref="E11">
    <cfRule type="containsText" dxfId="941" priority="844" operator="containsText" text="Pesquisa de Preços">
      <formula>NOT(ISERROR(SEARCH("Pesquisa de Preços",E11)))</formula>
    </cfRule>
  </conditionalFormatting>
  <conditionalFormatting sqref="E224">
    <cfRule type="containsText" dxfId="940" priority="841" operator="containsText" text="Pesquisa de Preços">
      <formula>NOT(ISERROR(SEARCH("Pesquisa de Preços",E224)))</formula>
    </cfRule>
  </conditionalFormatting>
  <conditionalFormatting sqref="E226">
    <cfRule type="containsText" dxfId="939" priority="842" operator="containsText" text="Pesquisa de Preços">
      <formula>NOT(ISERROR(SEARCH("Pesquisa de Preços",E226)))</formula>
    </cfRule>
  </conditionalFormatting>
  <conditionalFormatting sqref="E223">
    <cfRule type="containsText" dxfId="938" priority="840" operator="containsText" text="Pesquisa de Preços">
      <formula>NOT(ISERROR(SEARCH("Pesquisa de Preços",E223)))</formula>
    </cfRule>
  </conditionalFormatting>
  <conditionalFormatting sqref="E514">
    <cfRule type="containsText" dxfId="937" priority="686" operator="containsText" text="Pesquisa de Preços">
      <formula>NOT(ISERROR(SEARCH("Pesquisa de Preços",E514)))</formula>
    </cfRule>
  </conditionalFormatting>
  <conditionalFormatting sqref="E149">
    <cfRule type="containsText" dxfId="936" priority="835" operator="containsText" text="Pesquisa de Preços">
      <formula>NOT(ISERROR(SEARCH("Pesquisa de Preços",E149)))</formula>
    </cfRule>
  </conditionalFormatting>
  <conditionalFormatting sqref="E490:E496">
    <cfRule type="containsText" dxfId="935" priority="682" operator="containsText" text="Pesquisa de Preços">
      <formula>NOT(ISERROR(SEARCH("Pesquisa de Preços",E490)))</formula>
    </cfRule>
  </conditionalFormatting>
  <conditionalFormatting sqref="E148">
    <cfRule type="containsText" dxfId="934" priority="834" operator="containsText" text="Pesquisa de Preços">
      <formula>NOT(ISERROR(SEARCH("Pesquisa de Preços",E148)))</formula>
    </cfRule>
  </conditionalFormatting>
  <conditionalFormatting sqref="E78">
    <cfRule type="containsText" dxfId="933" priority="837" operator="containsText" text="Pesquisa de Preços">
      <formula>NOT(ISERROR(SEARCH("Pesquisa de Preços",E78)))</formula>
    </cfRule>
  </conditionalFormatting>
  <conditionalFormatting sqref="E161">
    <cfRule type="containsText" dxfId="932" priority="833" operator="containsText" text="Pesquisa de Preços">
      <formula>NOT(ISERROR(SEARCH("Pesquisa de Preços",E161)))</formula>
    </cfRule>
  </conditionalFormatting>
  <conditionalFormatting sqref="E79">
    <cfRule type="containsText" dxfId="931" priority="839" operator="containsText" text="Pesquisa de Preços">
      <formula>NOT(ISERROR(SEARCH("Pesquisa de Preços",E79)))</formula>
    </cfRule>
  </conditionalFormatting>
  <conditionalFormatting sqref="E77">
    <cfRule type="containsText" dxfId="930" priority="836" operator="containsText" text="Pesquisa de Preços">
      <formula>NOT(ISERROR(SEARCH("Pesquisa de Preços",E77)))</formula>
    </cfRule>
  </conditionalFormatting>
  <conditionalFormatting sqref="E81">
    <cfRule type="containsText" dxfId="929" priority="838" operator="containsText" text="Pesquisa de Preços">
      <formula>NOT(ISERROR(SEARCH("Pesquisa de Preços",E81)))</formula>
    </cfRule>
  </conditionalFormatting>
  <conditionalFormatting sqref="E545">
    <cfRule type="containsText" dxfId="928" priority="674" operator="containsText" text="Pesquisa de Preços">
      <formula>NOT(ISERROR(SEARCH("Pesquisa de Preços",E545)))</formula>
    </cfRule>
  </conditionalFormatting>
  <conditionalFormatting sqref="E87">
    <cfRule type="containsText" dxfId="927" priority="830" operator="containsText" text="Pesquisa de Preços">
      <formula>NOT(ISERROR(SEARCH("Pesquisa de Preços",E87)))</formula>
    </cfRule>
  </conditionalFormatting>
  <conditionalFormatting sqref="E160">
    <cfRule type="containsText" dxfId="926" priority="832" operator="containsText" text="Pesquisa de Preços">
      <formula>NOT(ISERROR(SEARCH("Pesquisa de Preços",E160)))</formula>
    </cfRule>
  </conditionalFormatting>
  <conditionalFormatting sqref="E553">
    <cfRule type="containsText" dxfId="925" priority="671" operator="containsText" text="Pesquisa de Preços">
      <formula>NOT(ISERROR(SEARCH("Pesquisa de Preços",E553)))</formula>
    </cfRule>
  </conditionalFormatting>
  <conditionalFormatting sqref="E88">
    <cfRule type="containsText" dxfId="924" priority="831" operator="containsText" text="Pesquisa de Preços">
      <formula>NOT(ISERROR(SEARCH("Pesquisa de Preços",E88)))</formula>
    </cfRule>
  </conditionalFormatting>
  <conditionalFormatting sqref="E60">
    <cfRule type="containsText" dxfId="923" priority="829" operator="containsText" text="Pesquisa de Preços">
      <formula>NOT(ISERROR(SEARCH("Pesquisa de Preços",E60)))</formula>
    </cfRule>
  </conditionalFormatting>
  <conditionalFormatting sqref="E569">
    <cfRule type="containsText" dxfId="922" priority="662" operator="containsText" text="Pesquisa de Preços">
      <formula>NOT(ISERROR(SEARCH("Pesquisa de Preços",E569)))</formula>
    </cfRule>
  </conditionalFormatting>
  <conditionalFormatting sqref="E59">
    <cfRule type="containsText" dxfId="921" priority="828" operator="containsText" text="Pesquisa de Preços">
      <formula>NOT(ISERROR(SEARCH("Pesquisa de Preços",E59)))</formula>
    </cfRule>
  </conditionalFormatting>
  <conditionalFormatting sqref="E53">
    <cfRule type="containsText" dxfId="920" priority="827" operator="containsText" text="Pesquisa de Preços">
      <formula>NOT(ISERROR(SEARCH("Pesquisa de Preços",E53)))</formula>
    </cfRule>
  </conditionalFormatting>
  <conditionalFormatting sqref="E33">
    <cfRule type="containsText" dxfId="919" priority="824" operator="containsText" text="Pesquisa de Preços">
      <formula>NOT(ISERROR(SEARCH("Pesquisa de Preços",E33)))</formula>
    </cfRule>
  </conditionalFormatting>
  <conditionalFormatting sqref="E52">
    <cfRule type="containsText" dxfId="918" priority="826" operator="containsText" text="Pesquisa de Preços">
      <formula>NOT(ISERROR(SEARCH("Pesquisa de Preços",E52)))</formula>
    </cfRule>
  </conditionalFormatting>
  <conditionalFormatting sqref="E579">
    <cfRule type="containsText" dxfId="917" priority="660" operator="containsText" text="Pesquisa de Preços">
      <formula>NOT(ISERROR(SEARCH("Pesquisa de Preços",E579)))</formula>
    </cfRule>
  </conditionalFormatting>
  <conditionalFormatting sqref="E34:E35">
    <cfRule type="containsText" dxfId="916" priority="825" operator="containsText" text="Pesquisa de Preços">
      <formula>NOT(ISERROR(SEARCH("Pesquisa de Preços",E34)))</formula>
    </cfRule>
  </conditionalFormatting>
  <conditionalFormatting sqref="E98:E99">
    <cfRule type="containsText" dxfId="915" priority="821" operator="containsText" text="Pesquisa de Preços">
      <formula>NOT(ISERROR(SEARCH("Pesquisa de Preços",E98)))</formula>
    </cfRule>
  </conditionalFormatting>
  <conditionalFormatting sqref="E29">
    <cfRule type="containsText" dxfId="914" priority="823" operator="containsText" text="Pesquisa de Preços">
      <formula>NOT(ISERROR(SEARCH("Pesquisa de Preços",E29)))</formula>
    </cfRule>
  </conditionalFormatting>
  <conditionalFormatting sqref="E28">
    <cfRule type="containsText" dxfId="913" priority="822" operator="containsText" text="Pesquisa de Preços">
      <formula>NOT(ISERROR(SEARCH("Pesquisa de Preços",E28)))</formula>
    </cfRule>
  </conditionalFormatting>
  <conditionalFormatting sqref="E144:E145">
    <cfRule type="containsText" dxfId="912" priority="818" operator="containsText" text="Pesquisa de Preços">
      <formula>NOT(ISERROR(SEARCH("Pesquisa de Preços",E144)))</formula>
    </cfRule>
  </conditionalFormatting>
  <conditionalFormatting sqref="E42">
    <cfRule type="containsText" dxfId="911" priority="814" operator="containsText" text="Pesquisa de Preços">
      <formula>NOT(ISERROR(SEARCH("Pesquisa de Preços",E42)))</formula>
    </cfRule>
  </conditionalFormatting>
  <conditionalFormatting sqref="E97">
    <cfRule type="containsText" dxfId="910" priority="820" operator="containsText" text="Pesquisa de Preços">
      <formula>NOT(ISERROR(SEARCH("Pesquisa de Preços",E97)))</formula>
    </cfRule>
  </conditionalFormatting>
  <conditionalFormatting sqref="E100">
    <cfRule type="containsText" dxfId="909" priority="819" operator="containsText" text="Pesquisa de Preços">
      <formula>NOT(ISERROR(SEARCH("Pesquisa de Preços",E100)))</formula>
    </cfRule>
  </conditionalFormatting>
  <conditionalFormatting sqref="E179">
    <cfRule type="containsText" dxfId="908" priority="809" operator="containsText" text="Pesquisa de Preços">
      <formula>NOT(ISERROR(SEARCH("Pesquisa de Preços",E179)))</formula>
    </cfRule>
  </conditionalFormatting>
  <conditionalFormatting sqref="E143">
    <cfRule type="containsText" dxfId="907" priority="817" operator="containsText" text="Pesquisa de Preços">
      <formula>NOT(ISERROR(SEARCH("Pesquisa de Preços",E143)))</formula>
    </cfRule>
  </conditionalFormatting>
  <conditionalFormatting sqref="E24">
    <cfRule type="containsText" dxfId="906" priority="813" operator="containsText" text="Pesquisa de Preços">
      <formula>NOT(ISERROR(SEARCH("Pesquisa de Preços",E24)))</formula>
    </cfRule>
  </conditionalFormatting>
  <conditionalFormatting sqref="E146">
    <cfRule type="containsText" dxfId="905" priority="816" operator="containsText" text="Pesquisa de Preços">
      <formula>NOT(ISERROR(SEARCH("Pesquisa de Preços",E146)))</formula>
    </cfRule>
  </conditionalFormatting>
  <conditionalFormatting sqref="E43">
    <cfRule type="containsText" dxfId="904" priority="815" operator="containsText" text="Pesquisa de Preços">
      <formula>NOT(ISERROR(SEARCH("Pesquisa de Preços",E43)))</formula>
    </cfRule>
  </conditionalFormatting>
  <conditionalFormatting sqref="E23">
    <cfRule type="containsText" dxfId="903" priority="812" operator="containsText" text="Pesquisa de Preços">
      <formula>NOT(ISERROR(SEARCH("Pesquisa de Preços",E23)))</formula>
    </cfRule>
  </conditionalFormatting>
  <conditionalFormatting sqref="E117:E118">
    <cfRule type="containsText" dxfId="902" priority="807" operator="containsText" text="Pesquisa de Preços">
      <formula>NOT(ISERROR(SEARCH("Pesquisa de Preços",E117)))</formula>
    </cfRule>
  </conditionalFormatting>
  <conditionalFormatting sqref="E178">
    <cfRule type="containsText" dxfId="901" priority="808" operator="containsText" text="Pesquisa de Preços">
      <formula>NOT(ISERROR(SEARCH("Pesquisa de Preços",E178)))</formula>
    </cfRule>
  </conditionalFormatting>
  <conditionalFormatting sqref="E38:E40">
    <cfRule type="containsText" dxfId="900" priority="811" operator="containsText" text="Pesquisa de Preços">
      <formula>NOT(ISERROR(SEARCH("Pesquisa de Preços",E38)))</formula>
    </cfRule>
  </conditionalFormatting>
  <conditionalFormatting sqref="E37">
    <cfRule type="containsText" dxfId="899" priority="810" operator="containsText" text="Pesquisa de Preços">
      <formula>NOT(ISERROR(SEARCH("Pesquisa de Preços",E37)))</formula>
    </cfRule>
  </conditionalFormatting>
  <conditionalFormatting sqref="E116">
    <cfRule type="containsText" dxfId="898" priority="806" operator="containsText" text="Pesquisa de Preços">
      <formula>NOT(ISERROR(SEARCH("Pesquisa de Preços",E116)))</formula>
    </cfRule>
  </conditionalFormatting>
  <conditionalFormatting sqref="E677">
    <cfRule type="containsText" dxfId="897" priority="656" operator="containsText" text="Pesquisa de Preços">
      <formula>NOT(ISERROR(SEARCH("Pesquisa de Preços",E677)))</formula>
    </cfRule>
  </conditionalFormatting>
  <conditionalFormatting sqref="E669">
    <cfRule type="containsText" dxfId="896" priority="654" operator="containsText" text="Pesquisa de Preços">
      <formula>NOT(ISERROR(SEARCH("Pesquisa de Preços",E669)))</formula>
    </cfRule>
  </conditionalFormatting>
  <conditionalFormatting sqref="E174">
    <cfRule type="containsText" dxfId="895" priority="804" operator="containsText" text="Pesquisa de Preços">
      <formula>NOT(ISERROR(SEARCH("Pesquisa de Preços",E174)))</formula>
    </cfRule>
  </conditionalFormatting>
  <conditionalFormatting sqref="E175:E176">
    <cfRule type="containsText" dxfId="894" priority="805" operator="containsText" text="Pesquisa de Preços">
      <formula>NOT(ISERROR(SEARCH("Pesquisa de Preços",E175)))</formula>
    </cfRule>
  </conditionalFormatting>
  <conditionalFormatting sqref="E218">
    <cfRule type="containsText" dxfId="893" priority="802" operator="containsText" text="Pesquisa de Preços">
      <formula>NOT(ISERROR(SEARCH("Pesquisa de Preços",E218)))</formula>
    </cfRule>
  </conditionalFormatting>
  <conditionalFormatting sqref="E219:E220">
    <cfRule type="containsText" dxfId="892" priority="803" operator="containsText" text="Pesquisa de Preços">
      <formula>NOT(ISERROR(SEARCH("Pesquisa de Preços",E219)))</formula>
    </cfRule>
  </conditionalFormatting>
  <conditionalFormatting sqref="E125">
    <cfRule type="containsText" dxfId="891" priority="799" operator="containsText" text="Pesquisa de Preços">
      <formula>NOT(ISERROR(SEARCH("Pesquisa de Preços",E125)))</formula>
    </cfRule>
  </conditionalFormatting>
  <conditionalFormatting sqref="E685:E686 E690:E691">
    <cfRule type="containsText" dxfId="890" priority="652" operator="containsText" text="Pesquisa de Preços">
      <formula>NOT(ISERROR(SEARCH("Pesquisa de Preços",E685)))</formula>
    </cfRule>
  </conditionalFormatting>
  <conditionalFormatting sqref="E221">
    <cfRule type="containsText" dxfId="889" priority="801" operator="containsText" text="Pesquisa de Preços">
      <formula>NOT(ISERROR(SEARCH("Pesquisa de Preços",E221)))</formula>
    </cfRule>
  </conditionalFormatting>
  <conditionalFormatting sqref="E126">
    <cfRule type="containsText" dxfId="888" priority="800" operator="containsText" text="Pesquisa de Preços">
      <formula>NOT(ISERROR(SEARCH("Pesquisa de Preços",E126)))</formula>
    </cfRule>
  </conditionalFormatting>
  <conditionalFormatting sqref="E709">
    <cfRule type="containsText" dxfId="887" priority="649" operator="containsText" text="Pesquisa de Preços">
      <formula>NOT(ISERROR(SEARCH("Pesquisa de Preços",E709)))</formula>
    </cfRule>
  </conditionalFormatting>
  <conditionalFormatting sqref="E166:E167">
    <cfRule type="containsText" dxfId="886" priority="798" operator="containsText" text="Pesquisa de Preços">
      <formula>NOT(ISERROR(SEARCH("Pesquisa de Preços",E166)))</formula>
    </cfRule>
  </conditionalFormatting>
  <conditionalFormatting sqref="E165">
    <cfRule type="containsText" dxfId="885" priority="797" operator="containsText" text="Pesquisa de Preços">
      <formula>NOT(ISERROR(SEARCH("Pesquisa de Preços",E165)))</formula>
    </cfRule>
  </conditionalFormatting>
  <conditionalFormatting sqref="E723">
    <cfRule type="containsText" dxfId="884" priority="647" operator="containsText" text="Pesquisa de Preços">
      <formula>NOT(ISERROR(SEARCH("Pesquisa de Preços",E723)))</formula>
    </cfRule>
  </conditionalFormatting>
  <conditionalFormatting sqref="E168">
    <cfRule type="containsText" dxfId="883" priority="796" operator="containsText" text="Pesquisa de Preços">
      <formula>NOT(ISERROR(SEARCH("Pesquisa de Preços",E168)))</formula>
    </cfRule>
  </conditionalFormatting>
  <conditionalFormatting sqref="E83">
    <cfRule type="containsText" dxfId="882" priority="795" operator="containsText" text="Pesquisa de Preços">
      <formula>NOT(ISERROR(SEARCH("Pesquisa de Preços",E83)))</formula>
    </cfRule>
  </conditionalFormatting>
  <conditionalFormatting sqref="E82">
    <cfRule type="containsText" dxfId="881" priority="794" operator="containsText" text="Pesquisa de Preços">
      <formula>NOT(ISERROR(SEARCH("Pesquisa de Preços",E82)))</formula>
    </cfRule>
  </conditionalFormatting>
  <conditionalFormatting sqref="E112">
    <cfRule type="containsText" dxfId="880" priority="793" operator="containsText" text="Pesquisa de Preços">
      <formula>NOT(ISERROR(SEARCH("Pesquisa de Preços",E112)))</formula>
    </cfRule>
  </conditionalFormatting>
  <conditionalFormatting sqref="E210:E211">
    <cfRule type="containsText" dxfId="879" priority="791" operator="containsText" text="Pesquisa de Preços">
      <formula>NOT(ISERROR(SEARCH("Pesquisa de Preços",E210)))</formula>
    </cfRule>
  </conditionalFormatting>
  <conditionalFormatting sqref="E111">
    <cfRule type="containsText" dxfId="878" priority="792" operator="containsText" text="Pesquisa de Preços">
      <formula>NOT(ISERROR(SEARCH("Pesquisa de Preços",E111)))</formula>
    </cfRule>
  </conditionalFormatting>
  <conditionalFormatting sqref="E200">
    <cfRule type="containsText" dxfId="877" priority="788" operator="containsText" text="Pesquisa de Preços">
      <formula>NOT(ISERROR(SEARCH("Pesquisa de Preços",E200)))</formula>
    </cfRule>
  </conditionalFormatting>
  <conditionalFormatting sqref="E209">
    <cfRule type="containsText" dxfId="876" priority="790" operator="containsText" text="Pesquisa de Preços">
      <formula>NOT(ISERROR(SEARCH("Pesquisa de Preços",E209)))</formula>
    </cfRule>
  </conditionalFormatting>
  <conditionalFormatting sqref="E201">
    <cfRule type="containsText" dxfId="875" priority="789" operator="containsText" text="Pesquisa de Preços">
      <formula>NOT(ISERROR(SEARCH("Pesquisa de Preços",E201)))</formula>
    </cfRule>
  </conditionalFormatting>
  <conditionalFormatting sqref="E197:E198">
    <cfRule type="containsText" dxfId="874" priority="786" operator="containsText" text="Pesquisa de Preços">
      <formula>NOT(ISERROR(SEARCH("Pesquisa de Preços",E197)))</formula>
    </cfRule>
  </conditionalFormatting>
  <conditionalFormatting sqref="E202:E203">
    <cfRule type="containsText" dxfId="873" priority="787" operator="containsText" text="Pesquisa de Preços">
      <formula>NOT(ISERROR(SEARCH("Pesquisa de Preços",E202)))</formula>
    </cfRule>
  </conditionalFormatting>
  <conditionalFormatting sqref="E196">
    <cfRule type="containsText" dxfId="872" priority="785" operator="containsText" text="Pesquisa de Preços">
      <formula>NOT(ISERROR(SEARCH("Pesquisa de Preços",E196)))</formula>
    </cfRule>
  </conditionalFormatting>
  <conditionalFormatting sqref="E70:E71 E75:E76">
    <cfRule type="containsText" dxfId="871" priority="784" operator="containsText" text="Pesquisa de Preços">
      <formula>NOT(ISERROR(SEARCH("Pesquisa de Preços",E70)))</formula>
    </cfRule>
  </conditionalFormatting>
  <conditionalFormatting sqref="E69">
    <cfRule type="containsText" dxfId="870" priority="783" operator="containsText" text="Pesquisa de Preços">
      <formula>NOT(ISERROR(SEARCH("Pesquisa de Preços",E69)))</formula>
    </cfRule>
  </conditionalFormatting>
  <conditionalFormatting sqref="E72:E74">
    <cfRule type="containsText" dxfId="869" priority="782" operator="containsText" text="Pesquisa de Preços">
      <formula>NOT(ISERROR(SEARCH("Pesquisa de Preços",E72)))</formula>
    </cfRule>
  </conditionalFormatting>
  <conditionalFormatting sqref="E135:E136">
    <cfRule type="containsText" dxfId="868" priority="781" operator="containsText" text="Pesquisa de Preços">
      <formula>NOT(ISERROR(SEARCH("Pesquisa de Preços",E135)))</formula>
    </cfRule>
  </conditionalFormatting>
  <conditionalFormatting sqref="E134">
    <cfRule type="containsText" dxfId="867" priority="780" operator="containsText" text="Pesquisa de Preços">
      <formula>NOT(ISERROR(SEARCH("Pesquisa de Preços",E134)))</formula>
    </cfRule>
  </conditionalFormatting>
  <conditionalFormatting sqref="E139:E140">
    <cfRule type="containsText" dxfId="866" priority="779" operator="containsText" text="Pesquisa de Preços">
      <formula>NOT(ISERROR(SEARCH("Pesquisa de Preços",E139)))</formula>
    </cfRule>
  </conditionalFormatting>
  <conditionalFormatting sqref="E138">
    <cfRule type="containsText" dxfId="865" priority="778" operator="containsText" text="Pesquisa de Preços">
      <formula>NOT(ISERROR(SEARCH("Pesquisa de Preços",E138)))</formula>
    </cfRule>
  </conditionalFormatting>
  <conditionalFormatting sqref="E783 E785:E794">
    <cfRule type="containsText" dxfId="864" priority="641" operator="containsText" text="Pesquisa de Preços">
      <formula>NOT(ISERROR(SEARCH("Pesquisa de Preços",E783)))</formula>
    </cfRule>
  </conditionalFormatting>
  <conditionalFormatting sqref="E154:E156">
    <cfRule type="containsText" dxfId="863" priority="777" operator="containsText" text="Pesquisa de Preços">
      <formula>NOT(ISERROR(SEARCH("Pesquisa de Preços",E154)))</formula>
    </cfRule>
  </conditionalFormatting>
  <conditionalFormatting sqref="E153">
    <cfRule type="containsText" dxfId="862" priority="776" operator="containsText" text="Pesquisa de Preços">
      <formula>NOT(ISERROR(SEARCH("Pesquisa de Preços",E153)))</formula>
    </cfRule>
  </conditionalFormatting>
  <conditionalFormatting sqref="E825">
    <cfRule type="containsText" dxfId="861" priority="639" operator="containsText" text="Pesquisa de Preços">
      <formula>NOT(ISERROR(SEARCH("Pesquisa de Preços",E825)))</formula>
    </cfRule>
  </conditionalFormatting>
  <conditionalFormatting sqref="E93">
    <cfRule type="containsText" dxfId="860" priority="775" operator="containsText" text="Pesquisa de Preços">
      <formula>NOT(ISERROR(SEARCH("Pesquisa de Preços",E93)))</formula>
    </cfRule>
  </conditionalFormatting>
  <conditionalFormatting sqref="E92">
    <cfRule type="containsText" dxfId="859" priority="774" operator="containsText" text="Pesquisa de Preços">
      <formula>NOT(ISERROR(SEARCH("Pesquisa de Preços",E92)))</formula>
    </cfRule>
  </conditionalFormatting>
  <conditionalFormatting sqref="E807:E808">
    <cfRule type="containsText" dxfId="858" priority="637" operator="containsText" text="Pesquisa de Preços">
      <formula>NOT(ISERROR(SEARCH("Pesquisa de Preços",E807)))</formula>
    </cfRule>
  </conditionalFormatting>
  <conditionalFormatting sqref="E48:E49">
    <cfRule type="containsText" dxfId="857" priority="773" operator="containsText" text="Pesquisa de Preços">
      <formula>NOT(ISERROR(SEARCH("Pesquisa de Preços",E48)))</formula>
    </cfRule>
  </conditionalFormatting>
  <conditionalFormatting sqref="E47">
    <cfRule type="containsText" dxfId="856" priority="772" operator="containsText" text="Pesquisa de Preços">
      <formula>NOT(ISERROR(SEARCH("Pesquisa de Preços",E47)))</formula>
    </cfRule>
  </conditionalFormatting>
  <conditionalFormatting sqref="E50">
    <cfRule type="containsText" dxfId="855" priority="771" operator="containsText" text="Pesquisa de Preços">
      <formula>NOT(ISERROR(SEARCH("Pesquisa de Preços",E50)))</formula>
    </cfRule>
  </conditionalFormatting>
  <conditionalFormatting sqref="E190:E191">
    <cfRule type="containsText" dxfId="854" priority="770" operator="containsText" text="Pesquisa de Preços">
      <formula>NOT(ISERROR(SEARCH("Pesquisa de Preços",E190)))</formula>
    </cfRule>
  </conditionalFormatting>
  <conditionalFormatting sqref="E189">
    <cfRule type="containsText" dxfId="853" priority="769" operator="containsText" text="Pesquisa de Preços">
      <formula>NOT(ISERROR(SEARCH("Pesquisa de Preços",E189)))</formula>
    </cfRule>
  </conditionalFormatting>
  <conditionalFormatting sqref="E741:E742 E745:E746">
    <cfRule type="containsText" dxfId="852" priority="635" operator="containsText" text="Pesquisa de Preços">
      <formula>NOT(ISERROR(SEARCH("Pesquisa de Preços",E741)))</formula>
    </cfRule>
  </conditionalFormatting>
  <conditionalFormatting sqref="E192">
    <cfRule type="containsText" dxfId="851" priority="768" operator="containsText" text="Pesquisa de Preços">
      <formula>NOT(ISERROR(SEARCH("Pesquisa de Preços",E192)))</formula>
    </cfRule>
  </conditionalFormatting>
  <conditionalFormatting sqref="E214:E215">
    <cfRule type="containsText" dxfId="850" priority="767" operator="containsText" text="Pesquisa de Preços">
      <formula>NOT(ISERROR(SEARCH("Pesquisa de Preços",E214)))</formula>
    </cfRule>
  </conditionalFormatting>
  <conditionalFormatting sqref="E213">
    <cfRule type="containsText" dxfId="849" priority="766" operator="containsText" text="Pesquisa de Preços">
      <formula>NOT(ISERROR(SEARCH("Pesquisa de Preços",E213)))</formula>
    </cfRule>
  </conditionalFormatting>
  <conditionalFormatting sqref="E216">
    <cfRule type="containsText" dxfId="848" priority="765" operator="containsText" text="Pesquisa de Preços">
      <formula>NOT(ISERROR(SEARCH("Pesquisa de Preços",E216)))</formula>
    </cfRule>
  </conditionalFormatting>
  <conditionalFormatting sqref="E121:E122">
    <cfRule type="containsText" dxfId="847" priority="764" operator="containsText" text="Pesquisa de Preços">
      <formula>NOT(ISERROR(SEARCH("Pesquisa de Preços",E121)))</formula>
    </cfRule>
  </conditionalFormatting>
  <conditionalFormatting sqref="E120">
    <cfRule type="containsText" dxfId="846" priority="763" operator="containsText" text="Pesquisa de Preços">
      <formula>NOT(ISERROR(SEARCH("Pesquisa de Preços",E120)))</formula>
    </cfRule>
  </conditionalFormatting>
  <conditionalFormatting sqref="E748:E749">
    <cfRule type="containsText" dxfId="845" priority="632" operator="containsText" text="Pesquisa de Preços">
      <formula>NOT(ISERROR(SEARCH("Pesquisa de Preços",E748)))</formula>
    </cfRule>
  </conditionalFormatting>
  <conditionalFormatting sqref="E123">
    <cfRule type="containsText" dxfId="844" priority="762" operator="containsText" text="Pesquisa de Preços">
      <formula>NOT(ISERROR(SEARCH("Pesquisa de Preços",E123)))</formula>
    </cfRule>
  </conditionalFormatting>
  <conditionalFormatting sqref="E107:E108">
    <cfRule type="containsText" dxfId="843" priority="761" operator="containsText" text="Pesquisa de Preços">
      <formula>NOT(ISERROR(SEARCH("Pesquisa de Preços",E107)))</formula>
    </cfRule>
  </conditionalFormatting>
  <conditionalFormatting sqref="E106">
    <cfRule type="containsText" dxfId="842" priority="760" operator="containsText" text="Pesquisa de Preços">
      <formula>NOT(ISERROR(SEARCH("Pesquisa de Preços",E106)))</formula>
    </cfRule>
  </conditionalFormatting>
  <conditionalFormatting sqref="E816 E818">
    <cfRule type="containsText" dxfId="841" priority="629" operator="containsText" text="Pesquisa de Preços">
      <formula>NOT(ISERROR(SEARCH("Pesquisa de Preços",E816)))</formula>
    </cfRule>
  </conditionalFormatting>
  <conditionalFormatting sqref="E109">
    <cfRule type="containsText" dxfId="840" priority="759" operator="containsText" text="Pesquisa de Preços">
      <formula>NOT(ISERROR(SEARCH("Pesquisa de Preços",E109)))</formula>
    </cfRule>
  </conditionalFormatting>
  <conditionalFormatting sqref="E131">
    <cfRule type="containsText" dxfId="839" priority="758" operator="containsText" text="Pesquisa de Preços">
      <formula>NOT(ISERROR(SEARCH("Pesquisa de Preços",E131)))</formula>
    </cfRule>
  </conditionalFormatting>
  <conditionalFormatting sqref="E130">
    <cfRule type="containsText" dxfId="838" priority="757" operator="containsText" text="Pesquisa de Preços">
      <formula>NOT(ISERROR(SEARCH("Pesquisa de Preços",E130)))</formula>
    </cfRule>
  </conditionalFormatting>
  <conditionalFormatting sqref="E820">
    <cfRule type="containsText" dxfId="837" priority="627" operator="containsText" text="Pesquisa de Preços">
      <formula>NOT(ISERROR(SEARCH("Pesquisa de Preços",E820)))</formula>
    </cfRule>
  </conditionalFormatting>
  <conditionalFormatting sqref="E65:E66">
    <cfRule type="containsText" dxfId="836" priority="756" operator="containsText" text="Pesquisa de Preços">
      <formula>NOT(ISERROR(SEARCH("Pesquisa de Preços",E65)))</formula>
    </cfRule>
  </conditionalFormatting>
  <conditionalFormatting sqref="E64">
    <cfRule type="containsText" dxfId="835" priority="755" operator="containsText" text="Pesquisa de Preços">
      <formula>NOT(ISERROR(SEARCH("Pesquisa de Preços",E64)))</formula>
    </cfRule>
  </conditionalFormatting>
  <conditionalFormatting sqref="E797">
    <cfRule type="containsText" dxfId="834" priority="625" operator="containsText" text="Pesquisa de Preços">
      <formula>NOT(ISERROR(SEARCH("Pesquisa de Preços",E797)))</formula>
    </cfRule>
  </conditionalFormatting>
  <conditionalFormatting sqref="E67">
    <cfRule type="containsText" dxfId="833" priority="754" operator="containsText" text="Pesquisa de Preços">
      <formula>NOT(ISERROR(SEARCH("Pesquisa de Preços",E67)))</formula>
    </cfRule>
  </conditionalFormatting>
  <conditionalFormatting sqref="E283">
    <cfRule type="containsText" dxfId="832" priority="743" operator="containsText" text="Pesquisa de Preços">
      <formula>NOT(ISERROR(SEARCH("Pesquisa de Preços",E283)))</formula>
    </cfRule>
  </conditionalFormatting>
  <conditionalFormatting sqref="E268">
    <cfRule type="containsText" dxfId="831" priority="740" operator="containsText" text="Pesquisa de Preços">
      <formula>NOT(ISERROR(SEARCH("Pesquisa de Preços",E268)))</formula>
    </cfRule>
  </conditionalFormatting>
  <conditionalFormatting sqref="E321">
    <cfRule type="containsText" dxfId="830" priority="738" operator="containsText" text="Pesquisa de Preços">
      <formula>NOT(ISERROR(SEARCH("Pesquisa de Preços",E321)))</formula>
    </cfRule>
  </conditionalFormatting>
  <conditionalFormatting sqref="E305">
    <cfRule type="containsText" dxfId="829" priority="735" operator="containsText" text="Pesquisa de Preços">
      <formula>NOT(ISERROR(SEARCH("Pesquisa de Preços",E305)))</formula>
    </cfRule>
  </conditionalFormatting>
  <conditionalFormatting sqref="E342:E343">
    <cfRule type="containsText" dxfId="828" priority="733" operator="containsText" text="Pesquisa de Preços">
      <formula>NOT(ISERROR(SEARCH("Pesquisa de Preços",E342)))</formula>
    </cfRule>
  </conditionalFormatting>
  <conditionalFormatting sqref="E290">
    <cfRule type="containsText" dxfId="827" priority="727" operator="containsText" text="Pesquisa de Preços">
      <formula>NOT(ISERROR(SEARCH("Pesquisa de Preços",E290)))</formula>
    </cfRule>
  </conditionalFormatting>
  <conditionalFormatting sqref="E327:E328">
    <cfRule type="containsText" dxfId="826" priority="725" operator="containsText" text="Pesquisa de Preços">
      <formula>NOT(ISERROR(SEARCH("Pesquisa de Preços",E327)))</formula>
    </cfRule>
  </conditionalFormatting>
  <conditionalFormatting sqref="E401">
    <cfRule type="containsText" dxfId="825" priority="715" operator="containsText" text="Pesquisa de Preços">
      <formula>NOT(ISERROR(SEARCH("Pesquisa de Preços",E401)))</formula>
    </cfRule>
  </conditionalFormatting>
  <conditionalFormatting sqref="E416 E421">
    <cfRule type="containsText" dxfId="824" priority="714" operator="containsText" text="Pesquisa de Preços">
      <formula>NOT(ISERROR(SEARCH("Pesquisa de Preços",E416)))</formula>
    </cfRule>
  </conditionalFormatting>
  <conditionalFormatting sqref="E434">
    <cfRule type="containsText" dxfId="823" priority="708" operator="containsText" text="Pesquisa de Preços">
      <formula>NOT(ISERROR(SEARCH("Pesquisa de Preços",E434)))</formula>
    </cfRule>
  </conditionalFormatting>
  <conditionalFormatting sqref="E246">
    <cfRule type="containsText" dxfId="822" priority="753" operator="containsText" text="Pesquisa de Preços">
      <formula>NOT(ISERROR(SEARCH("Pesquisa de Preços",E246)))</formula>
    </cfRule>
  </conditionalFormatting>
  <conditionalFormatting sqref="E248:E249">
    <cfRule type="containsText" dxfId="821" priority="752" operator="containsText" text="Pesquisa de Preços">
      <formula>NOT(ISERROR(SEARCH("Pesquisa de Preços",E248)))</formula>
    </cfRule>
  </conditionalFormatting>
  <conditionalFormatting sqref="E247">
    <cfRule type="containsText" dxfId="820" priority="751" operator="containsText" text="Pesquisa de Preços">
      <formula>NOT(ISERROR(SEARCH("Pesquisa de Preços",E247)))</formula>
    </cfRule>
  </conditionalFormatting>
  <conditionalFormatting sqref="E1085:E1087">
    <cfRule type="containsText" dxfId="819" priority="563" operator="containsText" text="Pesquisa de Preços">
      <formula>NOT(ISERROR(SEARCH("Pesquisa de Preços",E1085)))</formula>
    </cfRule>
  </conditionalFormatting>
  <conditionalFormatting sqref="E250:E260">
    <cfRule type="containsText" dxfId="818" priority="750" operator="containsText" text="Pesquisa de Preços">
      <formula>NOT(ISERROR(SEARCH("Pesquisa de Preços",E250)))</formula>
    </cfRule>
  </conditionalFormatting>
  <conditionalFormatting sqref="E263:E264">
    <cfRule type="containsText" dxfId="817" priority="749" operator="containsText" text="Pesquisa de Preços">
      <formula>NOT(ISERROR(SEARCH("Pesquisa de Preços",E263)))</formula>
    </cfRule>
  </conditionalFormatting>
  <conditionalFormatting sqref="E262">
    <cfRule type="containsText" dxfId="816" priority="748" operator="containsText" text="Pesquisa de Preços">
      <formula>NOT(ISERROR(SEARCH("Pesquisa de Preços",E262)))</formula>
    </cfRule>
  </conditionalFormatting>
  <conditionalFormatting sqref="E277:E278 E281:E282">
    <cfRule type="containsText" dxfId="815" priority="747" operator="containsText" text="Pesquisa de Preços">
      <formula>NOT(ISERROR(SEARCH("Pesquisa de Preços",E277)))</formula>
    </cfRule>
  </conditionalFormatting>
  <conditionalFormatting sqref="E276">
    <cfRule type="containsText" dxfId="814" priority="746" operator="containsText" text="Pesquisa de Preços">
      <formula>NOT(ISERROR(SEARCH("Pesquisa de Preços",E276)))</formula>
    </cfRule>
  </conditionalFormatting>
  <conditionalFormatting sqref="E279:E280">
    <cfRule type="containsText" dxfId="813" priority="745" operator="containsText" text="Pesquisa de Preços">
      <formula>NOT(ISERROR(SEARCH("Pesquisa de Preços",E279)))</formula>
    </cfRule>
  </conditionalFormatting>
  <conditionalFormatting sqref="E284:E285 E288:E289">
    <cfRule type="containsText" dxfId="812" priority="744" operator="containsText" text="Pesquisa de Preços">
      <formula>NOT(ISERROR(SEARCH("Pesquisa de Preços",E284)))</formula>
    </cfRule>
  </conditionalFormatting>
  <conditionalFormatting sqref="E286:E287">
    <cfRule type="containsText" dxfId="811" priority="742" operator="containsText" text="Pesquisa de Preços">
      <formula>NOT(ISERROR(SEARCH("Pesquisa de Preços",E286)))</formula>
    </cfRule>
  </conditionalFormatting>
  <conditionalFormatting sqref="E269:E270 E274:E275">
    <cfRule type="containsText" dxfId="810" priority="741" operator="containsText" text="Pesquisa de Preços">
      <formula>NOT(ISERROR(SEARCH("Pesquisa de Preços",E269)))</formula>
    </cfRule>
  </conditionalFormatting>
  <conditionalFormatting sqref="E271:E273">
    <cfRule type="containsText" dxfId="809" priority="739" operator="containsText" text="Pesquisa de Preços">
      <formula>NOT(ISERROR(SEARCH("Pesquisa de Preços",E271)))</formula>
    </cfRule>
  </conditionalFormatting>
  <conditionalFormatting sqref="E320">
    <cfRule type="containsText" dxfId="808" priority="737" operator="containsText" text="Pesquisa de Preços">
      <formula>NOT(ISERROR(SEARCH("Pesquisa de Preços",E320)))</formula>
    </cfRule>
  </conditionalFormatting>
  <conditionalFormatting sqref="E532:E533 E535:E536">
    <cfRule type="containsText" dxfId="807" priority="685" operator="containsText" text="Pesquisa de Preços">
      <formula>NOT(ISERROR(SEARCH("Pesquisa de Preços",E532)))</formula>
    </cfRule>
  </conditionalFormatting>
  <conditionalFormatting sqref="E306">
    <cfRule type="containsText" dxfId="806" priority="736" operator="containsText" text="Pesquisa de Preços">
      <formula>NOT(ISERROR(SEARCH("Pesquisa de Preços",E306)))</formula>
    </cfRule>
  </conditionalFormatting>
  <conditionalFormatting sqref="E312:E314">
    <cfRule type="containsText" dxfId="805" priority="734" operator="containsText" text="Pesquisa de Preços">
      <formula>NOT(ISERROR(SEARCH("Pesquisa de Preços",E312)))</formula>
    </cfRule>
  </conditionalFormatting>
  <conditionalFormatting sqref="E341">
    <cfRule type="containsText" dxfId="804" priority="732" operator="containsText" text="Pesquisa de Preços">
      <formula>NOT(ISERROR(SEARCH("Pesquisa de Preços",E341)))</formula>
    </cfRule>
  </conditionalFormatting>
  <conditionalFormatting sqref="E1282">
    <cfRule type="containsText" dxfId="803" priority="487" operator="containsText" text="Pesquisa de Preços">
      <formula>NOT(ISERROR(SEARCH("Pesquisa de Preços",E1282)))</formula>
    </cfRule>
  </conditionalFormatting>
  <conditionalFormatting sqref="E352">
    <cfRule type="containsText" dxfId="802" priority="731" operator="containsText" text="Pesquisa de Preços">
      <formula>NOT(ISERROR(SEARCH("Pesquisa de Preços",E352)))</formula>
    </cfRule>
  </conditionalFormatting>
  <conditionalFormatting sqref="E351">
    <cfRule type="containsText" dxfId="801" priority="730" operator="containsText" text="Pesquisa de Preços">
      <formula>NOT(ISERROR(SEARCH("Pesquisa de Preços",E351)))</formula>
    </cfRule>
  </conditionalFormatting>
  <conditionalFormatting sqref="E355:E358">
    <cfRule type="containsText" dxfId="800" priority="729" operator="containsText" text="Pesquisa de Preços">
      <formula>NOT(ISERROR(SEARCH("Pesquisa de Preços",E355)))</formula>
    </cfRule>
  </conditionalFormatting>
  <conditionalFormatting sqref="E291:E292">
    <cfRule type="containsText" dxfId="799" priority="728" operator="containsText" text="Pesquisa de Preços">
      <formula>NOT(ISERROR(SEARCH("Pesquisa de Preços",E291)))</formula>
    </cfRule>
  </conditionalFormatting>
  <conditionalFormatting sqref="E298:E299">
    <cfRule type="containsText" dxfId="798" priority="726" operator="containsText" text="Pesquisa de Preços">
      <formula>NOT(ISERROR(SEARCH("Pesquisa de Preços",E298)))</formula>
    </cfRule>
  </conditionalFormatting>
  <conditionalFormatting sqref="E326">
    <cfRule type="containsText" dxfId="797" priority="724" operator="containsText" text="Pesquisa de Preços">
      <formula>NOT(ISERROR(SEARCH("Pesquisa de Preços",E326)))</formula>
    </cfRule>
  </conditionalFormatting>
  <conditionalFormatting sqref="E329:E339">
    <cfRule type="containsText" dxfId="796" priority="723" operator="containsText" text="Pesquisa de Preços">
      <formula>NOT(ISERROR(SEARCH("Pesquisa de Preços",E329)))</formula>
    </cfRule>
  </conditionalFormatting>
  <conditionalFormatting sqref="E366:E367 E369:E370">
    <cfRule type="containsText" dxfId="795" priority="722" operator="containsText" text="Pesquisa de Preços">
      <formula>NOT(ISERROR(SEARCH("Pesquisa de Preços",E366)))</formula>
    </cfRule>
  </conditionalFormatting>
  <conditionalFormatting sqref="E365">
    <cfRule type="containsText" dxfId="794" priority="721" operator="containsText" text="Pesquisa de Preços">
      <formula>NOT(ISERROR(SEARCH("Pesquisa de Preços",E365)))</formula>
    </cfRule>
  </conditionalFormatting>
  <conditionalFormatting sqref="E368">
    <cfRule type="containsText" dxfId="793" priority="720" operator="containsText" text="Pesquisa de Preços">
      <formula>NOT(ISERROR(SEARCH("Pesquisa de Preços",E368)))</formula>
    </cfRule>
  </conditionalFormatting>
  <conditionalFormatting sqref="E372:E373 E378:E379">
    <cfRule type="containsText" dxfId="792" priority="719" operator="containsText" text="Pesquisa de Preços">
      <formula>NOT(ISERROR(SEARCH("Pesquisa de Preços",E372)))</formula>
    </cfRule>
  </conditionalFormatting>
  <conditionalFormatting sqref="E371">
    <cfRule type="containsText" dxfId="791" priority="718" operator="containsText" text="Pesquisa de Preços">
      <formula>NOT(ISERROR(SEARCH("Pesquisa de Preços",E371)))</formula>
    </cfRule>
  </conditionalFormatting>
  <conditionalFormatting sqref="E374:E377">
    <cfRule type="containsText" dxfId="790" priority="717" operator="containsText" text="Pesquisa de Preços">
      <formula>NOT(ISERROR(SEARCH("Pesquisa de Preços",E374)))</formula>
    </cfRule>
  </conditionalFormatting>
  <conditionalFormatting sqref="E402">
    <cfRule type="containsText" dxfId="789" priority="716" operator="containsText" text="Pesquisa de Preços">
      <formula>NOT(ISERROR(SEARCH("Pesquisa de Preços",E402)))</formula>
    </cfRule>
  </conditionalFormatting>
  <conditionalFormatting sqref="E415">
    <cfRule type="containsText" dxfId="788" priority="713" operator="containsText" text="Pesquisa de Preços">
      <formula>NOT(ISERROR(SEARCH("Pesquisa de Preços",E415)))</formula>
    </cfRule>
  </conditionalFormatting>
  <conditionalFormatting sqref="E441:E442 E444:E445">
    <cfRule type="containsText" dxfId="787" priority="712" operator="containsText" text="Pesquisa de Preços">
      <formula>NOT(ISERROR(SEARCH("Pesquisa de Preços",E441)))</formula>
    </cfRule>
  </conditionalFormatting>
  <conditionalFormatting sqref="E440">
    <cfRule type="containsText" dxfId="786" priority="711" operator="containsText" text="Pesquisa de Preços">
      <formula>NOT(ISERROR(SEARCH("Pesquisa de Preços",E440)))</formula>
    </cfRule>
  </conditionalFormatting>
  <conditionalFormatting sqref="E443">
    <cfRule type="containsText" dxfId="785" priority="710" operator="containsText" text="Pesquisa de Preços">
      <formula>NOT(ISERROR(SEARCH("Pesquisa de Preços",E443)))</formula>
    </cfRule>
  </conditionalFormatting>
  <conditionalFormatting sqref="E435:E436 E438:E439">
    <cfRule type="containsText" dxfId="784" priority="709" operator="containsText" text="Pesquisa de Preços">
      <formula>NOT(ISERROR(SEARCH("Pesquisa de Preços",E435)))</formula>
    </cfRule>
  </conditionalFormatting>
  <conditionalFormatting sqref="E437">
    <cfRule type="containsText" dxfId="783" priority="707" operator="containsText" text="Pesquisa de Preços">
      <formula>NOT(ISERROR(SEARCH("Pesquisa de Preços",E437)))</formula>
    </cfRule>
  </conditionalFormatting>
  <conditionalFormatting sqref="E455:E456 E459:E463">
    <cfRule type="containsText" dxfId="782" priority="706" operator="containsText" text="Pesquisa de Preços">
      <formula>NOT(ISERROR(SEARCH("Pesquisa de Preços",E455)))</formula>
    </cfRule>
  </conditionalFormatting>
  <conditionalFormatting sqref="E454">
    <cfRule type="containsText" dxfId="781" priority="705" operator="containsText" text="Pesquisa de Preços">
      <formula>NOT(ISERROR(SEARCH("Pesquisa de Preços",E454)))</formula>
    </cfRule>
  </conditionalFormatting>
  <conditionalFormatting sqref="E458">
    <cfRule type="containsText" dxfId="780" priority="704" operator="containsText" text="Pesquisa de Preços">
      <formula>NOT(ISERROR(SEARCH("Pesquisa de Preços",E458)))</formula>
    </cfRule>
  </conditionalFormatting>
  <conditionalFormatting sqref="E465:E466 E469:E470">
    <cfRule type="containsText" dxfId="779" priority="703" operator="containsText" text="Pesquisa de Preços">
      <formula>NOT(ISERROR(SEARCH("Pesquisa de Preços",E465)))</formula>
    </cfRule>
  </conditionalFormatting>
  <conditionalFormatting sqref="E464">
    <cfRule type="containsText" dxfId="778" priority="702" operator="containsText" text="Pesquisa de Preços">
      <formula>NOT(ISERROR(SEARCH("Pesquisa de Preços",E464)))</formula>
    </cfRule>
  </conditionalFormatting>
  <conditionalFormatting sqref="E468">
    <cfRule type="containsText" dxfId="777" priority="701" operator="containsText" text="Pesquisa de Preços">
      <formula>NOT(ISERROR(SEARCH("Pesquisa de Preços",E468)))</formula>
    </cfRule>
  </conditionalFormatting>
  <conditionalFormatting sqref="E472 E482">
    <cfRule type="containsText" dxfId="776" priority="700" operator="containsText" text="Pesquisa de Preços">
      <formula>NOT(ISERROR(SEARCH("Pesquisa de Preços",E472)))</formula>
    </cfRule>
  </conditionalFormatting>
  <conditionalFormatting sqref="E471">
    <cfRule type="containsText" dxfId="775" priority="699" operator="containsText" text="Pesquisa de Preços">
      <formula>NOT(ISERROR(SEARCH("Pesquisa de Preços",E471)))</formula>
    </cfRule>
  </conditionalFormatting>
  <conditionalFormatting sqref="E447 E451 E453">
    <cfRule type="containsText" dxfId="774" priority="698" operator="containsText" text="Pesquisa de Preços">
      <formula>NOT(ISERROR(SEARCH("Pesquisa de Preços",E447)))</formula>
    </cfRule>
  </conditionalFormatting>
  <conditionalFormatting sqref="E446">
    <cfRule type="containsText" dxfId="773" priority="697" operator="containsText" text="Pesquisa de Preços">
      <formula>NOT(ISERROR(SEARCH("Pesquisa de Preços",E446)))</formula>
    </cfRule>
  </conditionalFormatting>
  <conditionalFormatting sqref="E484:E485 E487:E488">
    <cfRule type="containsText" dxfId="772" priority="696" operator="containsText" text="Pesquisa de Preços">
      <formula>NOT(ISERROR(SEARCH("Pesquisa de Preços",E484)))</formula>
    </cfRule>
  </conditionalFormatting>
  <conditionalFormatting sqref="E483">
    <cfRule type="containsText" dxfId="771" priority="695" operator="containsText" text="Pesquisa de Preços">
      <formula>NOT(ISERROR(SEARCH("Pesquisa de Preços",E483)))</formula>
    </cfRule>
  </conditionalFormatting>
  <conditionalFormatting sqref="E486">
    <cfRule type="containsText" dxfId="770" priority="694" operator="containsText" text="Pesquisa de Preços">
      <formula>NOT(ISERROR(SEARCH("Pesquisa de Preços",E486)))</formula>
    </cfRule>
  </conditionalFormatting>
  <conditionalFormatting sqref="E505:E506 E509:E510">
    <cfRule type="containsText" dxfId="769" priority="693" operator="containsText" text="Pesquisa de Preços">
      <formula>NOT(ISERROR(SEARCH("Pesquisa de Preços",E505)))</formula>
    </cfRule>
  </conditionalFormatting>
  <conditionalFormatting sqref="E504">
    <cfRule type="containsText" dxfId="768" priority="692" operator="containsText" text="Pesquisa de Preços">
      <formula>NOT(ISERROR(SEARCH("Pesquisa de Preços",E504)))</formula>
    </cfRule>
  </conditionalFormatting>
  <conditionalFormatting sqref="E1262">
    <cfRule type="containsText" dxfId="767" priority="500" operator="containsText" text="Pesquisa de Preços">
      <formula>NOT(ISERROR(SEARCH("Pesquisa de Preços",E1262)))</formula>
    </cfRule>
  </conditionalFormatting>
  <conditionalFormatting sqref="E507:E508">
    <cfRule type="containsText" dxfId="766" priority="691" operator="containsText" text="Pesquisa de Preços">
      <formula>NOT(ISERROR(SEARCH("Pesquisa de Preços",E507)))</formula>
    </cfRule>
  </conditionalFormatting>
  <conditionalFormatting sqref="E498 E503">
    <cfRule type="containsText" dxfId="765" priority="690" operator="containsText" text="Pesquisa de Preços">
      <formula>NOT(ISERROR(SEARCH("Pesquisa de Preços",E498)))</formula>
    </cfRule>
  </conditionalFormatting>
  <conditionalFormatting sqref="E497">
    <cfRule type="containsText" dxfId="764" priority="689" operator="containsText" text="Pesquisa de Preços">
      <formula>NOT(ISERROR(SEARCH("Pesquisa de Preços",E497)))</formula>
    </cfRule>
  </conditionalFormatting>
  <conditionalFormatting sqref="E1296">
    <cfRule type="containsText" dxfId="763" priority="497" operator="containsText" text="Pesquisa de Preços">
      <formula>NOT(ISERROR(SEARCH("Pesquisa de Preços",E1296)))</formula>
    </cfRule>
  </conditionalFormatting>
  <conditionalFormatting sqref="E512:E513 E515:E516">
    <cfRule type="containsText" dxfId="762" priority="688" operator="containsText" text="Pesquisa de Preços">
      <formula>NOT(ISERROR(SEARCH("Pesquisa de Preços",E512)))</formula>
    </cfRule>
  </conditionalFormatting>
  <conditionalFormatting sqref="E511">
    <cfRule type="containsText" dxfId="761" priority="687" operator="containsText" text="Pesquisa de Preços">
      <formula>NOT(ISERROR(SEARCH("Pesquisa de Preços",E511)))</formula>
    </cfRule>
  </conditionalFormatting>
  <conditionalFormatting sqref="E1304">
    <cfRule type="containsText" dxfId="760" priority="494" operator="containsText" text="Pesquisa de Preços">
      <formula>NOT(ISERROR(SEARCH("Pesquisa de Preços",E1304)))</formula>
    </cfRule>
  </conditionalFormatting>
  <conditionalFormatting sqref="E531">
    <cfRule type="containsText" dxfId="759" priority="684" operator="containsText" text="Pesquisa de Preços">
      <formula>NOT(ISERROR(SEARCH("Pesquisa de Preços",E531)))</formula>
    </cfRule>
  </conditionalFormatting>
  <conditionalFormatting sqref="E1268">
    <cfRule type="containsText" dxfId="758" priority="492" operator="containsText" text="Pesquisa de Preços">
      <formula>NOT(ISERROR(SEARCH("Pesquisa de Preços",E1268)))</formula>
    </cfRule>
  </conditionalFormatting>
  <conditionalFormatting sqref="E534">
    <cfRule type="containsText" dxfId="757" priority="683" operator="containsText" text="Pesquisa de Preços">
      <formula>NOT(ISERROR(SEARCH("Pesquisa de Preços",E534)))</formula>
    </cfRule>
  </conditionalFormatting>
  <conditionalFormatting sqref="E489">
    <cfRule type="containsText" dxfId="756" priority="681" operator="containsText" text="Pesquisa de Preços">
      <formula>NOT(ISERROR(SEARCH("Pesquisa de Preços",E489)))</formula>
    </cfRule>
  </conditionalFormatting>
  <conditionalFormatting sqref="E1275">
    <cfRule type="containsText" dxfId="755" priority="489" operator="containsText" text="Pesquisa de Preços">
      <formula>NOT(ISERROR(SEARCH("Pesquisa de Preços",E1275)))</formula>
    </cfRule>
  </conditionalFormatting>
  <conditionalFormatting sqref="E525:E526 E529:E530">
    <cfRule type="containsText" dxfId="754" priority="680" operator="containsText" text="Pesquisa de Preços">
      <formula>NOT(ISERROR(SEARCH("Pesquisa de Preços",E525)))</formula>
    </cfRule>
  </conditionalFormatting>
  <conditionalFormatting sqref="E524">
    <cfRule type="containsText" dxfId="753" priority="679" operator="containsText" text="Pesquisa de Preços">
      <formula>NOT(ISERROR(SEARCH("Pesquisa de Preços",E524)))</formula>
    </cfRule>
  </conditionalFormatting>
  <conditionalFormatting sqref="E527:E528">
    <cfRule type="containsText" dxfId="752" priority="678" operator="containsText" text="Pesquisa de Preços">
      <formula>NOT(ISERROR(SEARCH("Pesquisa de Preços",E527)))</formula>
    </cfRule>
  </conditionalFormatting>
  <conditionalFormatting sqref="E518 E523">
    <cfRule type="containsText" dxfId="751" priority="677" operator="containsText" text="Pesquisa de Preços">
      <formula>NOT(ISERROR(SEARCH("Pesquisa de Preços",E518)))</formula>
    </cfRule>
  </conditionalFormatting>
  <conditionalFormatting sqref="E517">
    <cfRule type="containsText" dxfId="750" priority="676" operator="containsText" text="Pesquisa de Preços">
      <formula>NOT(ISERROR(SEARCH("Pesquisa de Preços",E517)))</formula>
    </cfRule>
  </conditionalFormatting>
  <conditionalFormatting sqref="E1289">
    <cfRule type="containsText" dxfId="749" priority="485" operator="containsText" text="Pesquisa de Preços">
      <formula>NOT(ISERROR(SEARCH("Pesquisa de Preços",E1289)))</formula>
    </cfRule>
  </conditionalFormatting>
  <conditionalFormatting sqref="E546:E547 E551:E552">
    <cfRule type="containsText" dxfId="748" priority="675" operator="containsText" text="Pesquisa de Preços">
      <formula>NOT(ISERROR(SEARCH("Pesquisa de Preços",E546)))</formula>
    </cfRule>
  </conditionalFormatting>
  <conditionalFormatting sqref="E1328">
    <cfRule type="containsText" dxfId="747" priority="483" operator="containsText" text="Pesquisa de Preços">
      <formula>NOT(ISERROR(SEARCH("Pesquisa de Preços",E1328)))</formula>
    </cfRule>
  </conditionalFormatting>
  <conditionalFormatting sqref="E548:E550">
    <cfRule type="containsText" dxfId="746" priority="673" operator="containsText" text="Pesquisa de Preços">
      <formula>NOT(ISERROR(SEARCH("Pesquisa de Preços",E548)))</formula>
    </cfRule>
  </conditionalFormatting>
  <conditionalFormatting sqref="E554:E555 E559:E560">
    <cfRule type="containsText" dxfId="745" priority="672" operator="containsText" text="Pesquisa de Preços">
      <formula>NOT(ISERROR(SEARCH("Pesquisa de Preços",E554)))</formula>
    </cfRule>
  </conditionalFormatting>
  <conditionalFormatting sqref="E1323">
    <cfRule type="containsText" dxfId="744" priority="481" operator="containsText" text="Pesquisa de Preços">
      <formula>NOT(ISERROR(SEARCH("Pesquisa de Preços",E1323)))</formula>
    </cfRule>
  </conditionalFormatting>
  <conditionalFormatting sqref="E556:E558">
    <cfRule type="containsText" dxfId="743" priority="670" operator="containsText" text="Pesquisa de Preços">
      <formula>NOT(ISERROR(SEARCH("Pesquisa de Preços",E556)))</formula>
    </cfRule>
  </conditionalFormatting>
  <conditionalFormatting sqref="E538:E539 E543:E544">
    <cfRule type="containsText" dxfId="742" priority="669" operator="containsText" text="Pesquisa de Preços">
      <formula>NOT(ISERROR(SEARCH("Pesquisa de Preços",E538)))</formula>
    </cfRule>
  </conditionalFormatting>
  <conditionalFormatting sqref="E537">
    <cfRule type="containsText" dxfId="741" priority="668" operator="containsText" text="Pesquisa de Preços">
      <formula>NOT(ISERROR(SEARCH("Pesquisa de Preços",E537)))</formula>
    </cfRule>
  </conditionalFormatting>
  <conditionalFormatting sqref="E1318">
    <cfRule type="containsText" dxfId="740" priority="479" operator="containsText" text="Pesquisa de Preços">
      <formula>NOT(ISERROR(SEARCH("Pesquisa de Preços",E1318)))</formula>
    </cfRule>
  </conditionalFormatting>
  <conditionalFormatting sqref="E540:E542">
    <cfRule type="containsText" dxfId="739" priority="667" operator="containsText" text="Pesquisa de Preços">
      <formula>NOT(ISERROR(SEARCH("Pesquisa de Preços",E540)))</formula>
    </cfRule>
  </conditionalFormatting>
  <conditionalFormatting sqref="E562:E563 E567:E568">
    <cfRule type="containsText" dxfId="738" priority="666" operator="containsText" text="Pesquisa de Preços">
      <formula>NOT(ISERROR(SEARCH("Pesquisa de Preços",E562)))</formula>
    </cfRule>
  </conditionalFormatting>
  <conditionalFormatting sqref="E561">
    <cfRule type="containsText" dxfId="737" priority="665" operator="containsText" text="Pesquisa de Preços">
      <formula>NOT(ISERROR(SEARCH("Pesquisa de Preços",E561)))</formula>
    </cfRule>
  </conditionalFormatting>
  <conditionalFormatting sqref="E1313">
    <cfRule type="containsText" dxfId="736" priority="477" operator="containsText" text="Pesquisa de Preços">
      <formula>NOT(ISERROR(SEARCH("Pesquisa de Preços",E1313)))</formula>
    </cfRule>
  </conditionalFormatting>
  <conditionalFormatting sqref="E564:E566">
    <cfRule type="containsText" dxfId="735" priority="664" operator="containsText" text="Pesquisa de Preços">
      <formula>NOT(ISERROR(SEARCH("Pesquisa de Preços",E564)))</formula>
    </cfRule>
  </conditionalFormatting>
  <conditionalFormatting sqref="E570:E571">
    <cfRule type="containsText" dxfId="734" priority="663" operator="containsText" text="Pesquisa de Preços">
      <formula>NOT(ISERROR(SEARCH("Pesquisa de Preços",E570)))</formula>
    </cfRule>
  </conditionalFormatting>
  <conditionalFormatting sqref="E1333">
    <cfRule type="containsText" dxfId="733" priority="475" operator="containsText" text="Pesquisa de Preços">
      <formula>NOT(ISERROR(SEARCH("Pesquisa de Preços",E1333)))</formula>
    </cfRule>
  </conditionalFormatting>
  <conditionalFormatting sqref="E580:E581 E584:E587">
    <cfRule type="containsText" dxfId="732" priority="661" operator="containsText" text="Pesquisa de Preços">
      <formula>NOT(ISERROR(SEARCH("Pesquisa de Preços",E580)))</formula>
    </cfRule>
  </conditionalFormatting>
  <conditionalFormatting sqref="E1346">
    <cfRule type="containsText" dxfId="731" priority="472" operator="containsText" text="Pesquisa de Preços">
      <formula>NOT(ISERROR(SEARCH("Pesquisa de Preços",E1346)))</formula>
    </cfRule>
  </conditionalFormatting>
  <conditionalFormatting sqref="E582:E583">
    <cfRule type="containsText" dxfId="730" priority="659" operator="containsText" text="Pesquisa de Preços">
      <formula>NOT(ISERROR(SEARCH("Pesquisa de Preços",E582)))</formula>
    </cfRule>
  </conditionalFormatting>
  <conditionalFormatting sqref="E622 E627:E628">
    <cfRule type="containsText" dxfId="729" priority="658" operator="containsText" text="Pesquisa de Preços">
      <formula>NOT(ISERROR(SEARCH("Pesquisa de Preços",E622)))</formula>
    </cfRule>
  </conditionalFormatting>
  <conditionalFormatting sqref="E621">
    <cfRule type="containsText" dxfId="728" priority="657" operator="containsText" text="Pesquisa de Preços">
      <formula>NOT(ISERROR(SEARCH("Pesquisa de Preços",E621)))</formula>
    </cfRule>
  </conditionalFormatting>
  <conditionalFormatting sqref="E1340">
    <cfRule type="containsText" dxfId="727" priority="469" operator="containsText" text="Pesquisa de Preços">
      <formula>NOT(ISERROR(SEARCH("Pesquisa de Preços",E1340)))</formula>
    </cfRule>
  </conditionalFormatting>
  <conditionalFormatting sqref="E1456">
    <cfRule type="containsText" dxfId="726" priority="432" operator="containsText" text="Pesquisa de Preços">
      <formula>NOT(ISERROR(SEARCH("Pesquisa de Preços",E1456)))</formula>
    </cfRule>
  </conditionalFormatting>
  <conditionalFormatting sqref="E824">
    <cfRule type="containsText" dxfId="725" priority="638" operator="containsText" text="Pesquisa de Preços">
      <formula>NOT(ISERROR(SEARCH("Pesquisa de Preços",E824)))</formula>
    </cfRule>
  </conditionalFormatting>
  <conditionalFormatting sqref="E1569">
    <cfRule type="containsText" dxfId="724" priority="428" operator="containsText" text="Pesquisa de Preços">
      <formula>NOT(ISERROR(SEARCH("Pesquisa de Preços",E1569)))</formula>
    </cfRule>
  </conditionalFormatting>
  <conditionalFormatting sqref="E740">
    <cfRule type="containsText" dxfId="723" priority="634" operator="containsText" text="Pesquisa de Preços">
      <formula>NOT(ISERROR(SEARCH("Pesquisa de Preços",E740)))</formula>
    </cfRule>
  </conditionalFormatting>
  <conditionalFormatting sqref="E676">
    <cfRule type="containsText" dxfId="722" priority="655" operator="containsText" text="Pesquisa de Preços">
      <formula>NOT(ISERROR(SEARCH("Pesquisa de Preços",E676)))</formula>
    </cfRule>
  </conditionalFormatting>
  <conditionalFormatting sqref="E668">
    <cfRule type="containsText" dxfId="721" priority="653" operator="containsText" text="Pesquisa de Preços">
      <formula>NOT(ISERROR(SEARCH("Pesquisa de Preços",E668)))</formula>
    </cfRule>
  </conditionalFormatting>
  <conditionalFormatting sqref="E708">
    <cfRule type="containsText" dxfId="720" priority="648" operator="containsText" text="Pesquisa de Preços">
      <formula>NOT(ISERROR(SEARCH("Pesquisa de Preços",E708)))</formula>
    </cfRule>
  </conditionalFormatting>
  <conditionalFormatting sqref="E684">
    <cfRule type="containsText" dxfId="719" priority="651" operator="containsText" text="Pesquisa de Preços">
      <formula>NOT(ISERROR(SEARCH("Pesquisa de Preços",E684)))</formula>
    </cfRule>
  </conditionalFormatting>
  <conditionalFormatting sqref="E750:E756">
    <cfRule type="containsText" dxfId="718" priority="630" operator="containsText" text="Pesquisa de Preços">
      <formula>NOT(ISERROR(SEARCH("Pesquisa de Preços",E750)))</formula>
    </cfRule>
  </conditionalFormatting>
  <conditionalFormatting sqref="E687:E689">
    <cfRule type="containsText" dxfId="717" priority="650" operator="containsText" text="Pesquisa de Preços">
      <formula>NOT(ISERROR(SEARCH("Pesquisa de Preços",E687)))</formula>
    </cfRule>
  </conditionalFormatting>
  <conditionalFormatting sqref="E716">
    <cfRule type="containsText" dxfId="716" priority="645" operator="containsText" text="Pesquisa de Preços">
      <formula>NOT(ISERROR(SEARCH("Pesquisa de Preços",E716)))</formula>
    </cfRule>
  </conditionalFormatting>
  <conditionalFormatting sqref="E722">
    <cfRule type="containsText" dxfId="715" priority="646" operator="containsText" text="Pesquisa de Preços">
      <formula>NOT(ISERROR(SEARCH("Pesquisa de Preços",E722)))</formula>
    </cfRule>
  </conditionalFormatting>
  <conditionalFormatting sqref="E819">
    <cfRule type="containsText" dxfId="714" priority="626" operator="containsText" text="Pesquisa de Preços">
      <formula>NOT(ISERROR(SEARCH("Pesquisa de Preços",E819)))</formula>
    </cfRule>
  </conditionalFormatting>
  <conditionalFormatting sqref="E715">
    <cfRule type="containsText" dxfId="713" priority="644" operator="containsText" text="Pesquisa de Preços">
      <formula>NOT(ISERROR(SEARCH("Pesquisa de Preços",E715)))</formula>
    </cfRule>
  </conditionalFormatting>
  <conditionalFormatting sqref="E759">
    <cfRule type="containsText" dxfId="712" priority="621" operator="containsText" text="Pesquisa de Preços">
      <formula>NOT(ISERROR(SEARCH("Pesquisa de Preços",E759)))</formula>
    </cfRule>
  </conditionalFormatting>
  <conditionalFormatting sqref="E831">
    <cfRule type="containsText" dxfId="711" priority="615" operator="containsText" text="Pesquisa de Preços">
      <formula>NOT(ISERROR(SEARCH("Pesquisa de Preços",E831)))</formula>
    </cfRule>
  </conditionalFormatting>
  <conditionalFormatting sqref="E737:E738">
    <cfRule type="containsText" dxfId="710" priority="643" operator="containsText" text="Pesquisa de Preços">
      <formula>NOT(ISERROR(SEARCH("Pesquisa de Preços",E737)))</formula>
    </cfRule>
  </conditionalFormatting>
  <conditionalFormatting sqref="E736">
    <cfRule type="containsText" dxfId="709" priority="642" operator="containsText" text="Pesquisa de Preços">
      <formula>NOT(ISERROR(SEARCH("Pesquisa de Preços",E736)))</formula>
    </cfRule>
  </conditionalFormatting>
  <conditionalFormatting sqref="E1411">
    <cfRule type="containsText" dxfId="708" priority="434" operator="containsText" text="Pesquisa de Preços">
      <formula>NOT(ISERROR(SEARCH("Pesquisa de Preços",E1411)))</formula>
    </cfRule>
  </conditionalFormatting>
  <conditionalFormatting sqref="E782">
    <cfRule type="containsText" dxfId="707" priority="640" operator="containsText" text="Pesquisa de Preços">
      <formula>NOT(ISERROR(SEARCH("Pesquisa de Preços",E782)))</formula>
    </cfRule>
  </conditionalFormatting>
  <conditionalFormatting sqref="E806">
    <cfRule type="containsText" dxfId="706" priority="636" operator="containsText" text="Pesquisa de Preços">
      <formula>NOT(ISERROR(SEARCH("Pesquisa de Preços",E806)))</formula>
    </cfRule>
  </conditionalFormatting>
  <conditionalFormatting sqref="E743:E744">
    <cfRule type="containsText" dxfId="705" priority="633" operator="containsText" text="Pesquisa de Preços">
      <formula>NOT(ISERROR(SEARCH("Pesquisa de Preços",E743)))</formula>
    </cfRule>
  </conditionalFormatting>
  <conditionalFormatting sqref="E747">
    <cfRule type="containsText" dxfId="704" priority="631" operator="containsText" text="Pesquisa de Preços">
      <formula>NOT(ISERROR(SEARCH("Pesquisa de Preços",E747)))</formula>
    </cfRule>
  </conditionalFormatting>
  <conditionalFormatting sqref="E940">
    <cfRule type="containsText" dxfId="703" priority="598" operator="containsText" text="Pesquisa de Preços">
      <formula>NOT(ISERROR(SEARCH("Pesquisa de Preços",E940)))</formula>
    </cfRule>
  </conditionalFormatting>
  <conditionalFormatting sqref="E815">
    <cfRule type="containsText" dxfId="702" priority="628" operator="containsText" text="Pesquisa de Preços">
      <formula>NOT(ISERROR(SEARCH("Pesquisa de Preços",E815)))</formula>
    </cfRule>
  </conditionalFormatting>
  <conditionalFormatting sqref="E1660">
    <cfRule type="containsText" dxfId="701" priority="392" operator="containsText" text="Pesquisa de Preços">
      <formula>NOT(ISERROR(SEARCH("Pesquisa de Preços",E1660)))</formula>
    </cfRule>
  </conditionalFormatting>
  <conditionalFormatting sqref="E796">
    <cfRule type="containsText" dxfId="700" priority="624" operator="containsText" text="Pesquisa de Preços">
      <formula>NOT(ISERROR(SEARCH("Pesquisa de Preços",E796)))</formula>
    </cfRule>
  </conditionalFormatting>
  <conditionalFormatting sqref="E972">
    <cfRule type="containsText" dxfId="699" priority="592" operator="containsText" text="Pesquisa de Preços">
      <formula>NOT(ISERROR(SEARCH("Pesquisa de Preços",E972)))</formula>
    </cfRule>
  </conditionalFormatting>
  <conditionalFormatting sqref="E811 E814">
    <cfRule type="containsText" dxfId="698" priority="623" operator="containsText" text="Pesquisa de Preços">
      <formula>NOT(ISERROR(SEARCH("Pesquisa de Preços",E811)))</formula>
    </cfRule>
  </conditionalFormatting>
  <conditionalFormatting sqref="E810">
    <cfRule type="containsText" dxfId="697" priority="622" operator="containsText" text="Pesquisa de Preços">
      <formula>NOT(ISERROR(SEARCH("Pesquisa de Preços",E810)))</formula>
    </cfRule>
  </conditionalFormatting>
  <conditionalFormatting sqref="E975:E980">
    <cfRule type="containsText" dxfId="696" priority="591" operator="containsText" text="Pesquisa de Preços">
      <formula>NOT(ISERROR(SEARCH("Pesquisa de Preços",E975)))</formula>
    </cfRule>
  </conditionalFormatting>
  <conditionalFormatting sqref="E758">
    <cfRule type="containsText" dxfId="695" priority="620" operator="containsText" text="Pesquisa de Preços">
      <formula>NOT(ISERROR(SEARCH("Pesquisa de Preços",E758)))</formula>
    </cfRule>
  </conditionalFormatting>
  <conditionalFormatting sqref="E1004">
    <cfRule type="containsText" dxfId="694" priority="586" operator="containsText" text="Pesquisa de Preços">
      <formula>NOT(ISERROR(SEARCH("Pesquisa de Preços",E1004)))</formula>
    </cfRule>
  </conditionalFormatting>
  <conditionalFormatting sqref="E183:E184">
    <cfRule type="containsText" dxfId="693" priority="619" operator="containsText" text="Pesquisa de Preços">
      <formula>NOT(ISERROR(SEARCH("Pesquisa de Preços",E183)))</formula>
    </cfRule>
  </conditionalFormatting>
  <conditionalFormatting sqref="E182">
    <cfRule type="containsText" dxfId="692" priority="618" operator="containsText" text="Pesquisa de Preços">
      <formula>NOT(ISERROR(SEARCH("Pesquisa de Preços",E182)))</formula>
    </cfRule>
  </conditionalFormatting>
  <conditionalFormatting sqref="E1007:E1010">
    <cfRule type="containsText" dxfId="691" priority="585" operator="containsText" text="Pesquisa de Preços">
      <formula>NOT(ISERROR(SEARCH("Pesquisa de Preços",E1007)))</formula>
    </cfRule>
  </conditionalFormatting>
  <conditionalFormatting sqref="E185:E187">
    <cfRule type="containsText" dxfId="690" priority="617" operator="containsText" text="Pesquisa de Preços">
      <formula>NOT(ISERROR(SEARCH("Pesquisa de Preços",E185)))</formula>
    </cfRule>
  </conditionalFormatting>
  <conditionalFormatting sqref="E832 E835:E836">
    <cfRule type="containsText" dxfId="689" priority="616" operator="containsText" text="Pesquisa de Preços">
      <formula>NOT(ISERROR(SEARCH("Pesquisa de Preços",E832)))</formula>
    </cfRule>
  </conditionalFormatting>
  <conditionalFormatting sqref="E1704">
    <cfRule type="containsText" dxfId="688" priority="384" operator="containsText" text="Pesquisa de Preços">
      <formula>NOT(ISERROR(SEARCH("Pesquisa de Preços",E1704)))</formula>
    </cfRule>
  </conditionalFormatting>
  <conditionalFormatting sqref="E834">
    <cfRule type="containsText" dxfId="687" priority="614" operator="containsText" text="Pesquisa de Preços">
      <formula>NOT(ISERROR(SEARCH("Pesquisa de Preços",E834)))</formula>
    </cfRule>
  </conditionalFormatting>
  <conditionalFormatting sqref="E906:E912">
    <cfRule type="containsText" dxfId="686" priority="613" operator="containsText" text="Pesquisa de Preços">
      <formula>NOT(ISERROR(SEARCH("Pesquisa de Preços",E906)))</formula>
    </cfRule>
  </conditionalFormatting>
  <conditionalFormatting sqref="E905">
    <cfRule type="containsText" dxfId="685" priority="612" operator="containsText" text="Pesquisa de Preços">
      <formula>NOT(ISERROR(SEARCH("Pesquisa de Preços",E905)))</formula>
    </cfRule>
  </conditionalFormatting>
  <conditionalFormatting sqref="E931:E937">
    <cfRule type="containsText" dxfId="684" priority="611" operator="containsText" text="Pesquisa de Preços">
      <formula>NOT(ISERROR(SEARCH("Pesquisa de Preços",E931)))</formula>
    </cfRule>
  </conditionalFormatting>
  <conditionalFormatting sqref="E930">
    <cfRule type="containsText" dxfId="683" priority="610" operator="containsText" text="Pesquisa de Preços">
      <formula>NOT(ISERROR(SEARCH("Pesquisa de Preços",E930)))</formula>
    </cfRule>
  </conditionalFormatting>
  <conditionalFormatting sqref="E1626">
    <cfRule type="containsText" dxfId="682" priority="406" operator="containsText" text="Pesquisa de Preços">
      <formula>NOT(ISERROR(SEARCH("Pesquisa de Preços",E1626)))</formula>
    </cfRule>
  </conditionalFormatting>
  <conditionalFormatting sqref="E922">
    <cfRule type="containsText" dxfId="681" priority="609" operator="containsText" text="Pesquisa de Preços">
      <formula>NOT(ISERROR(SEARCH("Pesquisa de Preços",E922)))</formula>
    </cfRule>
  </conditionalFormatting>
  <conditionalFormatting sqref="E921">
    <cfRule type="containsText" dxfId="680" priority="608" operator="containsText" text="Pesquisa de Preços">
      <formula>NOT(ISERROR(SEARCH("Pesquisa de Preços",E921)))</formula>
    </cfRule>
  </conditionalFormatting>
  <conditionalFormatting sqref="E1631">
    <cfRule type="containsText" dxfId="679" priority="404" operator="containsText" text="Pesquisa de Preços">
      <formula>NOT(ISERROR(SEARCH("Pesquisa de Preços",E1631)))</formula>
    </cfRule>
  </conditionalFormatting>
  <conditionalFormatting sqref="E914">
    <cfRule type="containsText" dxfId="678" priority="606" operator="containsText" text="Pesquisa de Preços">
      <formula>NOT(ISERROR(SEARCH("Pesquisa de Preços",E914)))</formula>
    </cfRule>
  </conditionalFormatting>
  <conditionalFormatting sqref="E915 E920">
    <cfRule type="containsText" dxfId="677" priority="607" operator="containsText" text="Pesquisa de Preços">
      <formula>NOT(ISERROR(SEARCH("Pesquisa de Preços",E915)))</formula>
    </cfRule>
  </conditionalFormatting>
  <conditionalFormatting sqref="E1602">
    <cfRule type="containsText" dxfId="676" priority="400" operator="containsText" text="Pesquisa de Preços">
      <formula>NOT(ISERROR(SEARCH("Pesquisa de Preços",E1602)))</formula>
    </cfRule>
  </conditionalFormatting>
  <conditionalFormatting sqref="E961:E963">
    <cfRule type="containsText" dxfId="675" priority="603" operator="containsText" text="Pesquisa de Preços">
      <formula>NOT(ISERROR(SEARCH("Pesquisa de Preços",E961)))</formula>
    </cfRule>
  </conditionalFormatting>
  <conditionalFormatting sqref="E959:E960">
    <cfRule type="containsText" dxfId="674" priority="605" operator="containsText" text="Pesquisa de Preços">
      <formula>NOT(ISERROR(SEARCH("Pesquisa de Preços",E959)))</formula>
    </cfRule>
  </conditionalFormatting>
  <conditionalFormatting sqref="E958">
    <cfRule type="containsText" dxfId="673" priority="604" operator="containsText" text="Pesquisa de Preços">
      <formula>NOT(ISERROR(SEARCH("Pesquisa de Preços",E958)))</formula>
    </cfRule>
  </conditionalFormatting>
  <conditionalFormatting sqref="E952">
    <cfRule type="containsText" dxfId="672" priority="602" operator="containsText" text="Pesquisa de Preços">
      <formula>NOT(ISERROR(SEARCH("Pesquisa de Preços",E952)))</formula>
    </cfRule>
  </conditionalFormatting>
  <conditionalFormatting sqref="E951">
    <cfRule type="containsText" dxfId="671" priority="601" operator="containsText" text="Pesquisa de Preços">
      <formula>NOT(ISERROR(SEARCH("Pesquisa de Preços",E951)))</formula>
    </cfRule>
  </conditionalFormatting>
  <conditionalFormatting sqref="E946 E950">
    <cfRule type="containsText" dxfId="670" priority="600" operator="containsText" text="Pesquisa de Preços">
      <formula>NOT(ISERROR(SEARCH("Pesquisa de Preços",E946)))</formula>
    </cfRule>
  </conditionalFormatting>
  <conditionalFormatting sqref="E945">
    <cfRule type="containsText" dxfId="669" priority="599" operator="containsText" text="Pesquisa de Preços">
      <formula>NOT(ISERROR(SEARCH("Pesquisa de Preços",E945)))</formula>
    </cfRule>
  </conditionalFormatting>
  <conditionalFormatting sqref="E1051">
    <cfRule type="containsText" dxfId="668" priority="566" operator="containsText" text="Pesquisa de Preços">
      <formula>NOT(ISERROR(SEARCH("Pesquisa de Preços",E1051)))</formula>
    </cfRule>
  </conditionalFormatting>
  <conditionalFormatting sqref="E965">
    <cfRule type="containsText" dxfId="667" priority="595" operator="containsText" text="Pesquisa de Preços">
      <formula>NOT(ISERROR(SEARCH("Pesquisa de Preços",E965)))</formula>
    </cfRule>
  </conditionalFormatting>
  <conditionalFormatting sqref="E939">
    <cfRule type="containsText" dxfId="666" priority="597" operator="containsText" text="Pesquisa de Preços">
      <formula>NOT(ISERROR(SEARCH("Pesquisa de Preços",E939)))</formula>
    </cfRule>
  </conditionalFormatting>
  <conditionalFormatting sqref="E966:E967 E970:E971">
    <cfRule type="containsText" dxfId="665" priority="596" operator="containsText" text="Pesquisa de Preços">
      <formula>NOT(ISERROR(SEARCH("Pesquisa de Preços",E966)))</formula>
    </cfRule>
  </conditionalFormatting>
  <conditionalFormatting sqref="E968:E969">
    <cfRule type="containsText" dxfId="664" priority="594" operator="containsText" text="Pesquisa de Preços">
      <formula>NOT(ISERROR(SEARCH("Pesquisa de Preços",E968)))</formula>
    </cfRule>
  </conditionalFormatting>
  <conditionalFormatting sqref="E973:E974 E981:E982">
    <cfRule type="containsText" dxfId="663" priority="593" operator="containsText" text="Pesquisa de Preços">
      <formula>NOT(ISERROR(SEARCH("Pesquisa de Preços",E973)))</formula>
    </cfRule>
  </conditionalFormatting>
  <conditionalFormatting sqref="E1649">
    <cfRule type="containsText" dxfId="662" priority="390" operator="containsText" text="Pesquisa de Preços">
      <formula>NOT(ISERROR(SEARCH("Pesquisa de Preços",E1649)))</formula>
    </cfRule>
  </conditionalFormatting>
  <conditionalFormatting sqref="E984:E985 E992:E993">
    <cfRule type="containsText" dxfId="661" priority="590" operator="containsText" text="Pesquisa de Preços">
      <formula>NOT(ISERROR(SEARCH("Pesquisa de Preços",E984)))</formula>
    </cfRule>
  </conditionalFormatting>
  <conditionalFormatting sqref="E983">
    <cfRule type="containsText" dxfId="660" priority="589" operator="containsText" text="Pesquisa de Preços">
      <formula>NOT(ISERROR(SEARCH("Pesquisa de Preços",E983)))</formula>
    </cfRule>
  </conditionalFormatting>
  <conditionalFormatting sqref="E1726">
    <cfRule type="containsText" dxfId="659" priority="388" operator="containsText" text="Pesquisa de Preços">
      <formula>NOT(ISERROR(SEARCH("Pesquisa de Preços",E1726)))</formula>
    </cfRule>
  </conditionalFormatting>
  <conditionalFormatting sqref="E990:E991 E986:E988">
    <cfRule type="containsText" dxfId="658" priority="588" operator="containsText" text="Pesquisa de Preços">
      <formula>NOT(ISERROR(SEARCH("Pesquisa de Preços",E986)))</formula>
    </cfRule>
  </conditionalFormatting>
  <conditionalFormatting sqref="E1005:E1006 E1011:E1012">
    <cfRule type="containsText" dxfId="657" priority="587" operator="containsText" text="Pesquisa de Preços">
      <formula>NOT(ISERROR(SEARCH("Pesquisa de Preços",E1005)))</formula>
    </cfRule>
  </conditionalFormatting>
  <conditionalFormatting sqref="E1737">
    <cfRule type="containsText" dxfId="656" priority="386" operator="containsText" text="Pesquisa de Preços">
      <formula>NOT(ISERROR(SEARCH("Pesquisa de Preços",E1737)))</formula>
    </cfRule>
  </conditionalFormatting>
  <conditionalFormatting sqref="E995:E996">
    <cfRule type="containsText" dxfId="655" priority="584" operator="containsText" text="Pesquisa de Preços">
      <formula>NOT(ISERROR(SEARCH("Pesquisa de Preços",E995)))</formula>
    </cfRule>
  </conditionalFormatting>
  <conditionalFormatting sqref="E994">
    <cfRule type="containsText" dxfId="654" priority="583" operator="containsText" text="Pesquisa de Preços">
      <formula>NOT(ISERROR(SEARCH("Pesquisa de Preços",E994)))</formula>
    </cfRule>
  </conditionalFormatting>
  <conditionalFormatting sqref="E999">
    <cfRule type="containsText" dxfId="653" priority="581" operator="containsText" text="Pesquisa de Preços">
      <formula>NOT(ISERROR(SEARCH("Pesquisa de Preços",E999)))</formula>
    </cfRule>
  </conditionalFormatting>
  <conditionalFormatting sqref="E1000:E1001">
    <cfRule type="containsText" dxfId="652" priority="582" operator="containsText" text="Pesquisa de Preços">
      <formula>NOT(ISERROR(SEARCH("Pesquisa de Preços",E1000)))</formula>
    </cfRule>
  </conditionalFormatting>
  <conditionalFormatting sqref="E1715">
    <cfRule type="containsText" dxfId="651" priority="382" operator="containsText" text="Pesquisa de Preços">
      <formula>NOT(ISERROR(SEARCH("Pesquisa de Preços",E1715)))</formula>
    </cfRule>
  </conditionalFormatting>
  <conditionalFormatting sqref="E1018">
    <cfRule type="containsText" dxfId="650" priority="579" operator="containsText" text="Pesquisa de Preços">
      <formula>NOT(ISERROR(SEARCH("Pesquisa de Preços",E1018)))</formula>
    </cfRule>
  </conditionalFormatting>
  <conditionalFormatting sqref="E1019:E1020 E1027">
    <cfRule type="containsText" dxfId="649" priority="580" operator="containsText" text="Pesquisa de Preços">
      <formula>NOT(ISERROR(SEARCH("Pesquisa de Preços",E1019)))</formula>
    </cfRule>
  </conditionalFormatting>
  <conditionalFormatting sqref="E1690">
    <cfRule type="containsText" dxfId="648" priority="380" operator="containsText" text="Pesquisa de Preços">
      <formula>NOT(ISERROR(SEARCH("Pesquisa de Preços",E1690)))</formula>
    </cfRule>
  </conditionalFormatting>
  <conditionalFormatting sqref="E1022:E1025">
    <cfRule type="containsText" dxfId="647" priority="578" operator="containsText" text="Pesquisa de Preços">
      <formula>NOT(ISERROR(SEARCH("Pesquisa de Preços",E1022)))</formula>
    </cfRule>
  </conditionalFormatting>
  <conditionalFormatting sqref="E1029:E1030 E1035:E1036">
    <cfRule type="containsText" dxfId="646" priority="577" operator="containsText" text="Pesquisa de Preços">
      <formula>NOT(ISERROR(SEARCH("Pesquisa de Preços",E1029)))</formula>
    </cfRule>
  </conditionalFormatting>
  <conditionalFormatting sqref="E1028">
    <cfRule type="containsText" dxfId="645" priority="576" operator="containsText" text="Pesquisa de Preços">
      <formula>NOT(ISERROR(SEARCH("Pesquisa de Preços",E1028)))</formula>
    </cfRule>
  </conditionalFormatting>
  <conditionalFormatting sqref="E1696">
    <cfRule type="containsText" dxfId="644" priority="378" operator="containsText" text="Pesquisa de Preços">
      <formula>NOT(ISERROR(SEARCH("Pesquisa de Preços",E1696)))</formula>
    </cfRule>
  </conditionalFormatting>
  <conditionalFormatting sqref="E1014:E1015">
    <cfRule type="containsText" dxfId="643" priority="575" operator="containsText" text="Pesquisa de Preços">
      <formula>NOT(ISERROR(SEARCH("Pesquisa de Preços",E1014)))</formula>
    </cfRule>
  </conditionalFormatting>
  <conditionalFormatting sqref="E1013">
    <cfRule type="containsText" dxfId="642" priority="574" operator="containsText" text="Pesquisa de Preços">
      <formula>NOT(ISERROR(SEARCH("Pesquisa de Preços",E1013)))</formula>
    </cfRule>
  </conditionalFormatting>
  <conditionalFormatting sqref="E1016">
    <cfRule type="containsText" dxfId="641" priority="573" operator="containsText" text="Pesquisa de Preços">
      <formula>NOT(ISERROR(SEARCH("Pesquisa de Preços",E1016)))</formula>
    </cfRule>
  </conditionalFormatting>
  <conditionalFormatting sqref="E1091:E1092">
    <cfRule type="containsText" dxfId="640" priority="572" operator="containsText" text="Pesquisa de Preços">
      <formula>NOT(ISERROR(SEARCH("Pesquisa de Preços",E1091)))</formula>
    </cfRule>
  </conditionalFormatting>
  <conditionalFormatting sqref="E1090">
    <cfRule type="containsText" dxfId="639" priority="571" operator="containsText" text="Pesquisa de Preços">
      <formula>NOT(ISERROR(SEARCH("Pesquisa de Preços",E1090)))</formula>
    </cfRule>
  </conditionalFormatting>
  <conditionalFormatting sqref="E1038:E1039 E1042:E1043">
    <cfRule type="containsText" dxfId="638" priority="570" operator="containsText" text="Pesquisa de Preços">
      <formula>NOT(ISERROR(SEARCH("Pesquisa de Preços",E1038)))</formula>
    </cfRule>
  </conditionalFormatting>
  <conditionalFormatting sqref="E1037">
    <cfRule type="containsText" dxfId="637" priority="569" operator="containsText" text="Pesquisa de Preços">
      <formula>NOT(ISERROR(SEARCH("Pesquisa de Preços",E1037)))</formula>
    </cfRule>
  </conditionalFormatting>
  <conditionalFormatting sqref="E1040:E1041">
    <cfRule type="containsText" dxfId="636" priority="568" operator="containsText" text="Pesquisa de Preços">
      <formula>NOT(ISERROR(SEARCH("Pesquisa de Preços",E1040)))</formula>
    </cfRule>
  </conditionalFormatting>
  <conditionalFormatting sqref="E1052:E1053 E1057">
    <cfRule type="containsText" dxfId="635" priority="567" operator="containsText" text="Pesquisa de Preços">
      <formula>NOT(ISERROR(SEARCH("Pesquisa de Preços",E1052)))</formula>
    </cfRule>
  </conditionalFormatting>
  <conditionalFormatting sqref="E1083:E1084 E1089">
    <cfRule type="containsText" dxfId="634" priority="565" operator="containsText" text="Pesquisa de Preços">
      <formula>NOT(ISERROR(SEARCH("Pesquisa de Preços",E1083)))</formula>
    </cfRule>
  </conditionalFormatting>
  <conditionalFormatting sqref="E1082">
    <cfRule type="containsText" dxfId="633" priority="564" operator="containsText" text="Pesquisa de Preços">
      <formula>NOT(ISERROR(SEARCH("Pesquisa de Preços",E1082)))</formula>
    </cfRule>
  </conditionalFormatting>
  <conditionalFormatting sqref="E1045:E1046">
    <cfRule type="containsText" dxfId="632" priority="562" operator="containsText" text="Pesquisa de Preços">
      <formula>NOT(ISERROR(SEARCH("Pesquisa de Preços",E1045)))</formula>
    </cfRule>
  </conditionalFormatting>
  <conditionalFormatting sqref="E1044">
    <cfRule type="containsText" dxfId="631" priority="561" operator="containsText" text="Pesquisa de Preços">
      <formula>NOT(ISERROR(SEARCH("Pesquisa de Preços",E1044)))</formula>
    </cfRule>
  </conditionalFormatting>
  <conditionalFormatting sqref="E1047:E1049">
    <cfRule type="containsText" dxfId="630" priority="560" operator="containsText" text="Pesquisa de Preços">
      <formula>NOT(ISERROR(SEARCH("Pesquisa de Preços",E1047)))</formula>
    </cfRule>
  </conditionalFormatting>
  <conditionalFormatting sqref="E1059">
    <cfRule type="containsText" dxfId="629" priority="559" operator="containsText" text="Pesquisa de Preços">
      <formula>NOT(ISERROR(SEARCH("Pesquisa de Preços",E1059)))</formula>
    </cfRule>
  </conditionalFormatting>
  <conditionalFormatting sqref="E1058">
    <cfRule type="containsText" dxfId="628" priority="558" operator="containsText" text="Pesquisa de Preços">
      <formula>NOT(ISERROR(SEARCH("Pesquisa de Preços",E1058)))</formula>
    </cfRule>
  </conditionalFormatting>
  <conditionalFormatting sqref="E1075 E1081">
    <cfRule type="containsText" dxfId="627" priority="557" operator="containsText" text="Pesquisa de Preços">
      <formula>NOT(ISERROR(SEARCH("Pesquisa de Preços",E1075)))</formula>
    </cfRule>
  </conditionalFormatting>
  <conditionalFormatting sqref="E1074">
    <cfRule type="containsText" dxfId="626" priority="556" operator="containsText" text="Pesquisa de Preços">
      <formula>NOT(ISERROR(SEARCH("Pesquisa de Preços",E1074)))</formula>
    </cfRule>
  </conditionalFormatting>
  <conditionalFormatting sqref="E1066 E1073">
    <cfRule type="containsText" dxfId="625" priority="555" operator="containsText" text="Pesquisa de Preços">
      <formula>NOT(ISERROR(SEARCH("Pesquisa de Preços",E1066)))</formula>
    </cfRule>
  </conditionalFormatting>
  <conditionalFormatting sqref="E1065">
    <cfRule type="containsText" dxfId="624" priority="554" operator="containsText" text="Pesquisa de Preços">
      <formula>NOT(ISERROR(SEARCH("Pesquisa de Preços",E1065)))</formula>
    </cfRule>
  </conditionalFormatting>
  <conditionalFormatting sqref="E1114:E1115">
    <cfRule type="containsText" dxfId="623" priority="553" operator="containsText" text="Pesquisa de Preços">
      <formula>NOT(ISERROR(SEARCH("Pesquisa de Preços",E1114)))</formula>
    </cfRule>
  </conditionalFormatting>
  <conditionalFormatting sqref="E1113">
    <cfRule type="containsText" dxfId="622" priority="552" operator="containsText" text="Pesquisa de Preços">
      <formula>NOT(ISERROR(SEARCH("Pesquisa de Preços",E1113)))</formula>
    </cfRule>
  </conditionalFormatting>
  <conditionalFormatting sqref="E1116">
    <cfRule type="containsText" dxfId="621" priority="551" operator="containsText" text="Pesquisa de Preços">
      <formula>NOT(ISERROR(SEARCH("Pesquisa de Preços",E1116)))</formula>
    </cfRule>
  </conditionalFormatting>
  <conditionalFormatting sqref="E1109:E1110">
    <cfRule type="containsText" dxfId="620" priority="550" operator="containsText" text="Pesquisa de Preços">
      <formula>NOT(ISERROR(SEARCH("Pesquisa de Preços",E1109)))</formula>
    </cfRule>
  </conditionalFormatting>
  <conditionalFormatting sqref="E1108">
    <cfRule type="containsText" dxfId="619" priority="549" operator="containsText" text="Pesquisa de Preços">
      <formula>NOT(ISERROR(SEARCH("Pesquisa de Preços",E1108)))</formula>
    </cfRule>
  </conditionalFormatting>
  <conditionalFormatting sqref="E1832">
    <cfRule type="containsText" dxfId="618" priority="367" operator="containsText" text="Pesquisa de Preços">
      <formula>NOT(ISERROR(SEARCH("Pesquisa de Preços",E1832)))</formula>
    </cfRule>
  </conditionalFormatting>
  <conditionalFormatting sqref="E1235:E1236 E1240">
    <cfRule type="containsText" dxfId="617" priority="548" operator="containsText" text="Pesquisa de Preços">
      <formula>NOT(ISERROR(SEARCH("Pesquisa de Preços",E1235)))</formula>
    </cfRule>
  </conditionalFormatting>
  <conditionalFormatting sqref="E1234">
    <cfRule type="containsText" dxfId="616" priority="547" operator="containsText" text="Pesquisa de Preços">
      <formula>NOT(ISERROR(SEARCH("Pesquisa de Preços",E1234)))</formula>
    </cfRule>
  </conditionalFormatting>
  <conditionalFormatting sqref="E1838">
    <cfRule type="containsText" dxfId="615" priority="364" operator="containsText" text="Pesquisa de Preços">
      <formula>NOT(ISERROR(SEARCH("Pesquisa de Preços",E1838)))</formula>
    </cfRule>
  </conditionalFormatting>
  <conditionalFormatting sqref="E1228:E1229 E1233">
    <cfRule type="containsText" dxfId="614" priority="546" operator="containsText" text="Pesquisa de Preços">
      <formula>NOT(ISERROR(SEARCH("Pesquisa de Preços",E1228)))</formula>
    </cfRule>
  </conditionalFormatting>
  <conditionalFormatting sqref="E1227">
    <cfRule type="containsText" dxfId="613" priority="545" operator="containsText" text="Pesquisa de Preços">
      <formula>NOT(ISERROR(SEARCH("Pesquisa de Preços",E1227)))</formula>
    </cfRule>
  </conditionalFormatting>
  <conditionalFormatting sqref="E1825">
    <cfRule type="containsText" dxfId="612" priority="361" operator="containsText" text="Pesquisa de Preços">
      <formula>NOT(ISERROR(SEARCH("Pesquisa de Preços",E1825)))</formula>
    </cfRule>
  </conditionalFormatting>
  <conditionalFormatting sqref="E1221:E1222 E1226">
    <cfRule type="containsText" dxfId="611" priority="544" operator="containsText" text="Pesquisa de Preços">
      <formula>NOT(ISERROR(SEARCH("Pesquisa de Preços",E1221)))</formula>
    </cfRule>
  </conditionalFormatting>
  <conditionalFormatting sqref="E1220">
    <cfRule type="containsText" dxfId="610" priority="543" operator="containsText" text="Pesquisa de Preços">
      <formula>NOT(ISERROR(SEARCH("Pesquisa de Preços",E1220)))</formula>
    </cfRule>
  </conditionalFormatting>
  <conditionalFormatting sqref="E1844">
    <cfRule type="containsText" dxfId="609" priority="359" operator="containsText" text="Pesquisa de Preços">
      <formula>NOT(ISERROR(SEARCH("Pesquisa de Preços",E1844)))</formula>
    </cfRule>
  </conditionalFormatting>
  <conditionalFormatting sqref="E1214:E1215 E1219">
    <cfRule type="containsText" dxfId="608" priority="542" operator="containsText" text="Pesquisa de Preços">
      <formula>NOT(ISERROR(SEARCH("Pesquisa de Preços",E1214)))</formula>
    </cfRule>
  </conditionalFormatting>
  <conditionalFormatting sqref="E1213">
    <cfRule type="containsText" dxfId="607" priority="541" operator="containsText" text="Pesquisa de Preços">
      <formula>NOT(ISERROR(SEARCH("Pesquisa de Preços",E1213)))</formula>
    </cfRule>
  </conditionalFormatting>
  <conditionalFormatting sqref="E1130:E1131 E1134:E1135">
    <cfRule type="containsText" dxfId="606" priority="540" operator="containsText" text="Pesquisa de Preços">
      <formula>NOT(ISERROR(SEARCH("Pesquisa de Preços",E1130)))</formula>
    </cfRule>
  </conditionalFormatting>
  <conditionalFormatting sqref="E1129">
    <cfRule type="containsText" dxfId="605" priority="539" operator="containsText" text="Pesquisa de Preços">
      <formula>NOT(ISERROR(SEARCH("Pesquisa de Preços",E1129)))</formula>
    </cfRule>
  </conditionalFormatting>
  <conditionalFormatting sqref="E1132:E1133">
    <cfRule type="containsText" dxfId="604" priority="538" operator="containsText" text="Pesquisa de Preços">
      <formula>NOT(ISERROR(SEARCH("Pesquisa de Preços",E1132)))</formula>
    </cfRule>
  </conditionalFormatting>
  <conditionalFormatting sqref="E1119:E1120 E1122:E1123">
    <cfRule type="containsText" dxfId="603" priority="537" operator="containsText" text="Pesquisa de Preços">
      <formula>NOT(ISERROR(SEARCH("Pesquisa de Preços",E1119)))</formula>
    </cfRule>
  </conditionalFormatting>
  <conditionalFormatting sqref="E1118">
    <cfRule type="containsText" dxfId="602" priority="536" operator="containsText" text="Pesquisa de Preços">
      <formula>NOT(ISERROR(SEARCH("Pesquisa de Preços",E1118)))</formula>
    </cfRule>
  </conditionalFormatting>
  <conditionalFormatting sqref="E1121">
    <cfRule type="containsText" dxfId="601" priority="535" operator="containsText" text="Pesquisa de Preços">
      <formula>NOT(ISERROR(SEARCH("Pesquisa de Preços",E1121)))</formula>
    </cfRule>
  </conditionalFormatting>
  <conditionalFormatting sqref="E1256 E1261">
    <cfRule type="containsText" dxfId="600" priority="534" operator="containsText" text="Pesquisa de Preços">
      <formula>NOT(ISERROR(SEARCH("Pesquisa de Preços",E1256)))</formula>
    </cfRule>
  </conditionalFormatting>
  <conditionalFormatting sqref="E1255">
    <cfRule type="containsText" dxfId="599" priority="533" operator="containsText" text="Pesquisa de Preços">
      <formula>NOT(ISERROR(SEARCH("Pesquisa de Preços",E1255)))</formula>
    </cfRule>
  </conditionalFormatting>
  <conditionalFormatting sqref="E1244:E1245">
    <cfRule type="containsText" dxfId="598" priority="530" operator="containsText" text="Pesquisa de Preços">
      <formula>NOT(ISERROR(SEARCH("Pesquisa de Preços",E1244)))</formula>
    </cfRule>
  </conditionalFormatting>
  <conditionalFormatting sqref="E1242:E1243 E1246:E1247">
    <cfRule type="containsText" dxfId="597" priority="532" operator="containsText" text="Pesquisa de Preços">
      <formula>NOT(ISERROR(SEARCH("Pesquisa de Preços",E1242)))</formula>
    </cfRule>
  </conditionalFormatting>
  <conditionalFormatting sqref="E1241">
    <cfRule type="containsText" dxfId="596" priority="531" operator="containsText" text="Pesquisa de Preços">
      <formula>NOT(ISERROR(SEARCH("Pesquisa de Preços",E1241)))</formula>
    </cfRule>
  </conditionalFormatting>
  <conditionalFormatting sqref="E1144:E1145 E1148:E1149">
    <cfRule type="containsText" dxfId="595" priority="529" operator="containsText" text="Pesquisa de Preços">
      <formula>NOT(ISERROR(SEARCH("Pesquisa de Preços",E1144)))</formula>
    </cfRule>
  </conditionalFormatting>
  <conditionalFormatting sqref="E1143">
    <cfRule type="containsText" dxfId="594" priority="528" operator="containsText" text="Pesquisa de Preços">
      <formula>NOT(ISERROR(SEARCH("Pesquisa de Preços",E1143)))</formula>
    </cfRule>
  </conditionalFormatting>
  <conditionalFormatting sqref="E1146:E1147">
    <cfRule type="containsText" dxfId="593" priority="527" operator="containsText" text="Pesquisa de Preços">
      <formula>NOT(ISERROR(SEARCH("Pesquisa de Preços",E1146)))</formula>
    </cfRule>
  </conditionalFormatting>
  <conditionalFormatting sqref="E1179:E1180 E1183:E1184">
    <cfRule type="containsText" dxfId="592" priority="526" operator="containsText" text="Pesquisa de Preços">
      <formula>NOT(ISERROR(SEARCH("Pesquisa de Preços",E1179)))</formula>
    </cfRule>
  </conditionalFormatting>
  <conditionalFormatting sqref="E1178">
    <cfRule type="containsText" dxfId="591" priority="525" operator="containsText" text="Pesquisa de Preços">
      <formula>NOT(ISERROR(SEARCH("Pesquisa de Preços",E1178)))</formula>
    </cfRule>
  </conditionalFormatting>
  <conditionalFormatting sqref="E1181:E1182">
    <cfRule type="containsText" dxfId="590" priority="524" operator="containsText" text="Pesquisa de Preços">
      <formula>NOT(ISERROR(SEARCH("Pesquisa de Preços",E1181)))</formula>
    </cfRule>
  </conditionalFormatting>
  <conditionalFormatting sqref="E1186:E1187 E1190:E1191">
    <cfRule type="containsText" dxfId="589" priority="523" operator="containsText" text="Pesquisa de Preços">
      <formula>NOT(ISERROR(SEARCH("Pesquisa de Preços",E1186)))</formula>
    </cfRule>
  </conditionalFormatting>
  <conditionalFormatting sqref="E1185">
    <cfRule type="containsText" dxfId="588" priority="522" operator="containsText" text="Pesquisa de Preços">
      <formula>NOT(ISERROR(SEARCH("Pesquisa de Preços",E1185)))</formula>
    </cfRule>
  </conditionalFormatting>
  <conditionalFormatting sqref="E1892">
    <cfRule type="containsText" dxfId="587" priority="349" operator="containsText" text="Pesquisa de Preços">
      <formula>NOT(ISERROR(SEARCH("Pesquisa de Preços",E1892)))</formula>
    </cfRule>
  </conditionalFormatting>
  <conditionalFormatting sqref="E1189">
    <cfRule type="containsText" dxfId="586" priority="521" operator="containsText" text="Pesquisa de Preços">
      <formula>NOT(ISERROR(SEARCH("Pesquisa de Preços",E1189)))</formula>
    </cfRule>
  </conditionalFormatting>
  <conditionalFormatting sqref="E1193:E1194 E1197:E1198">
    <cfRule type="containsText" dxfId="585" priority="520" operator="containsText" text="Pesquisa de Preços">
      <formula>NOT(ISERROR(SEARCH("Pesquisa de Preços",E1193)))</formula>
    </cfRule>
  </conditionalFormatting>
  <conditionalFormatting sqref="E1192">
    <cfRule type="containsText" dxfId="584" priority="519" operator="containsText" text="Pesquisa de Preços">
      <formula>NOT(ISERROR(SEARCH("Pesquisa de Preços",E1192)))</formula>
    </cfRule>
  </conditionalFormatting>
  <conditionalFormatting sqref="E1898">
    <cfRule type="containsText" dxfId="583" priority="346" operator="containsText" text="Pesquisa de Preços">
      <formula>NOT(ISERROR(SEARCH("Pesquisa de Preços",E1898)))</formula>
    </cfRule>
  </conditionalFormatting>
  <conditionalFormatting sqref="E1196">
    <cfRule type="containsText" dxfId="582" priority="518" operator="containsText" text="Pesquisa de Preços">
      <formula>NOT(ISERROR(SEARCH("Pesquisa de Preços",E1196)))</formula>
    </cfRule>
  </conditionalFormatting>
  <conditionalFormatting sqref="E1172:E1173 E1176:E1177">
    <cfRule type="containsText" dxfId="581" priority="517" operator="containsText" text="Pesquisa de Preços">
      <formula>NOT(ISERROR(SEARCH("Pesquisa de Preços",E1172)))</formula>
    </cfRule>
  </conditionalFormatting>
  <conditionalFormatting sqref="E1171">
    <cfRule type="containsText" dxfId="580" priority="516" operator="containsText" text="Pesquisa de Preços">
      <formula>NOT(ISERROR(SEARCH("Pesquisa de Preços",E1171)))</formula>
    </cfRule>
  </conditionalFormatting>
  <conditionalFormatting sqref="E1174:E1175">
    <cfRule type="containsText" dxfId="579" priority="515" operator="containsText" text="Pesquisa de Preços">
      <formula>NOT(ISERROR(SEARCH("Pesquisa de Preços",E1174)))</formula>
    </cfRule>
  </conditionalFormatting>
  <conditionalFormatting sqref="E1137:E1138 E1141:E1142">
    <cfRule type="containsText" dxfId="578" priority="514" operator="containsText" text="Pesquisa de Preços">
      <formula>NOT(ISERROR(SEARCH("Pesquisa de Preços",E1137)))</formula>
    </cfRule>
  </conditionalFormatting>
  <conditionalFormatting sqref="E1136">
    <cfRule type="containsText" dxfId="577" priority="513" operator="containsText" text="Pesquisa de Preços">
      <formula>NOT(ISERROR(SEARCH("Pesquisa de Preços",E1136)))</formula>
    </cfRule>
  </conditionalFormatting>
  <conditionalFormatting sqref="E1914">
    <cfRule type="containsText" dxfId="576" priority="343" operator="containsText" text="Pesquisa de Preços">
      <formula>NOT(ISERROR(SEARCH("Pesquisa de Preços",E1914)))</formula>
    </cfRule>
  </conditionalFormatting>
  <conditionalFormatting sqref="E1139:E1140">
    <cfRule type="containsText" dxfId="575" priority="512" operator="containsText" text="Pesquisa de Preços">
      <formula>NOT(ISERROR(SEARCH("Pesquisa de Preços",E1139)))</formula>
    </cfRule>
  </conditionalFormatting>
  <conditionalFormatting sqref="E1158:E1159 E1162:E1163">
    <cfRule type="containsText" dxfId="574" priority="511" operator="containsText" text="Pesquisa de Preços">
      <formula>NOT(ISERROR(SEARCH("Pesquisa de Preços",E1158)))</formula>
    </cfRule>
  </conditionalFormatting>
  <conditionalFormatting sqref="E1157">
    <cfRule type="containsText" dxfId="573" priority="510" operator="containsText" text="Pesquisa de Preços">
      <formula>NOT(ISERROR(SEARCH("Pesquisa de Preços",E1157)))</formula>
    </cfRule>
  </conditionalFormatting>
  <conditionalFormatting sqref="E1909">
    <cfRule type="containsText" dxfId="572" priority="341" operator="containsText" text="Pesquisa de Preços">
      <formula>NOT(ISERROR(SEARCH("Pesquisa de Preços",E1909)))</formula>
    </cfRule>
  </conditionalFormatting>
  <conditionalFormatting sqref="E1160:E1161">
    <cfRule type="containsText" dxfId="571" priority="509" operator="containsText" text="Pesquisa de Preços">
      <formula>NOT(ISERROR(SEARCH("Pesquisa de Preços",E1160)))</formula>
    </cfRule>
  </conditionalFormatting>
  <conditionalFormatting sqref="E1165 E1170">
    <cfRule type="containsText" dxfId="570" priority="508" operator="containsText" text="Pesquisa de Preços">
      <formula>NOT(ISERROR(SEARCH("Pesquisa de Preços",E1165)))</formula>
    </cfRule>
  </conditionalFormatting>
  <conditionalFormatting sqref="E1164">
    <cfRule type="containsText" dxfId="569" priority="507" operator="containsText" text="Pesquisa de Preços">
      <formula>NOT(ISERROR(SEARCH("Pesquisa de Preços",E1164)))</formula>
    </cfRule>
  </conditionalFormatting>
  <conditionalFormatting sqref="E1919">
    <cfRule type="containsText" dxfId="568" priority="339" operator="containsText" text="Pesquisa de Preços">
      <formula>NOT(ISERROR(SEARCH("Pesquisa de Preços",E1919)))</formula>
    </cfRule>
  </conditionalFormatting>
  <conditionalFormatting sqref="E1199">
    <cfRule type="containsText" dxfId="567" priority="505" operator="containsText" text="Pesquisa de Preços">
      <formula>NOT(ISERROR(SEARCH("Pesquisa de Preços",E1199)))</formula>
    </cfRule>
  </conditionalFormatting>
  <conditionalFormatting sqref="E1200:E1201 E1205">
    <cfRule type="containsText" dxfId="566" priority="506" operator="containsText" text="Pesquisa de Preços">
      <formula>NOT(ISERROR(SEARCH("Pesquisa de Preços",E1200)))</formula>
    </cfRule>
  </conditionalFormatting>
  <conditionalFormatting sqref="E1940">
    <cfRule type="containsText" dxfId="565" priority="337" operator="containsText" text="Pesquisa de Preços">
      <formula>NOT(ISERROR(SEARCH("Pesquisa de Preços",E1940)))</formula>
    </cfRule>
  </conditionalFormatting>
  <conditionalFormatting sqref="E1202:E1203">
    <cfRule type="containsText" dxfId="564" priority="504" operator="containsText" text="Pesquisa de Preços">
      <formula>NOT(ISERROR(SEARCH("Pesquisa de Preços",E1202)))</formula>
    </cfRule>
  </conditionalFormatting>
  <conditionalFormatting sqref="E1125">
    <cfRule type="containsText" dxfId="563" priority="503" operator="containsText" text="Pesquisa de Preços">
      <formula>NOT(ISERROR(SEARCH("Pesquisa de Preços",E1125)))</formula>
    </cfRule>
  </conditionalFormatting>
  <conditionalFormatting sqref="E1124">
    <cfRule type="containsText" dxfId="562" priority="502" operator="containsText" text="Pesquisa de Preços">
      <formula>NOT(ISERROR(SEARCH("Pesquisa de Preços",E1124)))</formula>
    </cfRule>
  </conditionalFormatting>
  <conditionalFormatting sqref="E1263:E1264 E1266:E1267">
    <cfRule type="containsText" dxfId="561" priority="501" operator="containsText" text="Pesquisa de Preços">
      <formula>NOT(ISERROR(SEARCH("Pesquisa de Preços",E1263)))</formula>
    </cfRule>
  </conditionalFormatting>
  <conditionalFormatting sqref="E1265">
    <cfRule type="containsText" dxfId="560" priority="499" operator="containsText" text="Pesquisa de Preços">
      <formula>NOT(ISERROR(SEARCH("Pesquisa de Preços",E1265)))</formula>
    </cfRule>
  </conditionalFormatting>
  <conditionalFormatting sqref="E1297:E1298 E1302:E1303">
    <cfRule type="containsText" dxfId="559" priority="498" operator="containsText" text="Pesquisa de Preços">
      <formula>NOT(ISERROR(SEARCH("Pesquisa de Preços",E1297)))</formula>
    </cfRule>
  </conditionalFormatting>
  <conditionalFormatting sqref="E1299:E1301">
    <cfRule type="containsText" dxfId="558" priority="496" operator="containsText" text="Pesquisa de Preços">
      <formula>NOT(ISERROR(SEARCH("Pesquisa de Preços",E1299)))</formula>
    </cfRule>
  </conditionalFormatting>
  <conditionalFormatting sqref="E1305 E1311:E1312">
    <cfRule type="containsText" dxfId="557" priority="495" operator="containsText" text="Pesquisa de Preços">
      <formula>NOT(ISERROR(SEARCH("Pesquisa de Preços",E1305)))</formula>
    </cfRule>
  </conditionalFormatting>
  <conditionalFormatting sqref="E1390:E1391 E1394:E1395">
    <cfRule type="containsText" dxfId="556" priority="466" operator="containsText" text="Pesquisa de Preços">
      <formula>NOT(ISERROR(SEARCH("Pesquisa de Preços",E1390)))</formula>
    </cfRule>
  </conditionalFormatting>
  <conditionalFormatting sqref="E1269:E1270">
    <cfRule type="containsText" dxfId="555" priority="493" operator="containsText" text="Pesquisa de Preços">
      <formula>NOT(ISERROR(SEARCH("Pesquisa de Preços",E1269)))</formula>
    </cfRule>
  </conditionalFormatting>
  <conditionalFormatting sqref="E1271:E1273">
    <cfRule type="containsText" dxfId="554" priority="491" operator="containsText" text="Pesquisa de Preços">
      <formula>NOT(ISERROR(SEARCH("Pesquisa de Preços",E1271)))</formula>
    </cfRule>
  </conditionalFormatting>
  <conditionalFormatting sqref="E1276:E1277 E1281">
    <cfRule type="containsText" dxfId="553" priority="490" operator="containsText" text="Pesquisa de Preços">
      <formula>NOT(ISERROR(SEARCH("Pesquisa de Preços",E1276)))</formula>
    </cfRule>
  </conditionalFormatting>
  <conditionalFormatting sqref="E1966">
    <cfRule type="containsText" dxfId="552" priority="330" operator="containsText" text="Pesquisa de Preços">
      <formula>NOT(ISERROR(SEARCH("Pesquisa de Preços",E1966)))</formula>
    </cfRule>
  </conditionalFormatting>
  <conditionalFormatting sqref="E1283:E1284 E1288">
    <cfRule type="containsText" dxfId="551" priority="488" operator="containsText" text="Pesquisa de Preços">
      <formula>NOT(ISERROR(SEARCH("Pesquisa de Preços",E1283)))</formula>
    </cfRule>
  </conditionalFormatting>
  <conditionalFormatting sqref="E1959">
    <cfRule type="containsText" dxfId="550" priority="328" operator="containsText" text="Pesquisa de Preços">
      <formula>NOT(ISERROR(SEARCH("Pesquisa de Preços",E1959)))</formula>
    </cfRule>
  </conditionalFormatting>
  <conditionalFormatting sqref="E1290 E1293 E1295">
    <cfRule type="containsText" dxfId="549" priority="486" operator="containsText" text="Pesquisa de Preços">
      <formula>NOT(ISERROR(SEARCH("Pesquisa de Preços",E1290)))</formula>
    </cfRule>
  </conditionalFormatting>
  <conditionalFormatting sqref="E1324:E1325">
    <cfRule type="containsText" dxfId="548" priority="482" operator="containsText" text="Pesquisa de Preços">
      <formula>NOT(ISERROR(SEARCH("Pesquisa de Preços",E1324)))</formula>
    </cfRule>
  </conditionalFormatting>
  <conditionalFormatting sqref="E1329:E1330">
    <cfRule type="containsText" dxfId="547" priority="484" operator="containsText" text="Pesquisa de Preços">
      <formula>NOT(ISERROR(SEARCH("Pesquisa de Preços",E1329)))</formula>
    </cfRule>
  </conditionalFormatting>
  <conditionalFormatting sqref="E2003">
    <cfRule type="containsText" dxfId="546" priority="322" operator="containsText" text="Pesquisa de Preços">
      <formula>NOT(ISERROR(SEARCH("Pesquisa de Preços",E2003)))</formula>
    </cfRule>
  </conditionalFormatting>
  <conditionalFormatting sqref="E1314:E1315">
    <cfRule type="containsText" dxfId="545" priority="478" operator="containsText" text="Pesquisa de Preços">
      <formula>NOT(ISERROR(SEARCH("Pesquisa de Preços",E1314)))</formula>
    </cfRule>
  </conditionalFormatting>
  <conditionalFormatting sqref="E1996">
    <cfRule type="containsText" dxfId="544" priority="320" operator="containsText" text="Pesquisa de Preços">
      <formula>NOT(ISERROR(SEARCH("Pesquisa de Preços",E1996)))</formula>
    </cfRule>
  </conditionalFormatting>
  <conditionalFormatting sqref="E1319:E1320">
    <cfRule type="containsText" dxfId="543" priority="480" operator="containsText" text="Pesquisa de Preços">
      <formula>NOT(ISERROR(SEARCH("Pesquisa de Preços",E1319)))</formula>
    </cfRule>
  </conditionalFormatting>
  <conditionalFormatting sqref="E1989">
    <cfRule type="containsText" dxfId="542" priority="317" operator="containsText" text="Pesquisa de Preços">
      <formula>NOT(ISERROR(SEARCH("Pesquisa de Preços",E1989)))</formula>
    </cfRule>
  </conditionalFormatting>
  <conditionalFormatting sqref="E1982">
    <cfRule type="containsText" dxfId="541" priority="314" operator="containsText" text="Pesquisa de Preços">
      <formula>NOT(ISERROR(SEARCH("Pesquisa de Preços",E1982)))</formula>
    </cfRule>
  </conditionalFormatting>
  <conditionalFormatting sqref="E1334:E1335 E1338:E1339">
    <cfRule type="containsText" dxfId="540" priority="476" operator="containsText" text="Pesquisa de Preços">
      <formula>NOT(ISERROR(SEARCH("Pesquisa de Preços",E1334)))</formula>
    </cfRule>
  </conditionalFormatting>
  <conditionalFormatting sqref="E1508">
    <cfRule type="containsText" dxfId="539" priority="449" operator="containsText" text="Pesquisa de Preços">
      <formula>NOT(ISERROR(SEARCH("Pesquisa de Preços",E1508)))</formula>
    </cfRule>
  </conditionalFormatting>
  <conditionalFormatting sqref="E1336:E1337">
    <cfRule type="containsText" dxfId="538" priority="474" operator="containsText" text="Pesquisa de Preços">
      <formula>NOT(ISERROR(SEARCH("Pesquisa de Preços",E1336)))</formula>
    </cfRule>
  </conditionalFormatting>
  <conditionalFormatting sqref="E1347:E1348 E1351:E1352">
    <cfRule type="containsText" dxfId="537" priority="473" operator="containsText" text="Pesquisa de Preços">
      <formula>NOT(ISERROR(SEARCH("Pesquisa de Preços",E1347)))</formula>
    </cfRule>
  </conditionalFormatting>
  <conditionalFormatting sqref="E1516">
    <cfRule type="containsText" dxfId="536" priority="450" operator="containsText" text="Pesquisa de Preços">
      <formula>NOT(ISERROR(SEARCH("Pesquisa de Preços",E1516)))</formula>
    </cfRule>
  </conditionalFormatting>
  <conditionalFormatting sqref="E1349:E1350">
    <cfRule type="containsText" dxfId="535" priority="471" operator="containsText" text="Pesquisa de Preços">
      <formula>NOT(ISERROR(SEARCH("Pesquisa de Preços",E1349)))</formula>
    </cfRule>
  </conditionalFormatting>
  <conditionalFormatting sqref="E1341 E1344:E1345">
    <cfRule type="containsText" dxfId="534" priority="470" operator="containsText" text="Pesquisa de Preços">
      <formula>NOT(ISERROR(SEARCH("Pesquisa de Preços",E1341)))</formula>
    </cfRule>
  </conditionalFormatting>
  <conditionalFormatting sqref="E1389">
    <cfRule type="containsText" dxfId="533" priority="465" operator="containsText" text="Pesquisa de Preços">
      <formula>NOT(ISERROR(SEARCH("Pesquisa de Preços",E1389)))</formula>
    </cfRule>
  </conditionalFormatting>
  <conditionalFormatting sqref="E1354 E1357:E1358">
    <cfRule type="containsText" dxfId="532" priority="468" operator="containsText" text="Pesquisa de Preços">
      <formula>NOT(ISERROR(SEARCH("Pesquisa de Preços",E1354)))</formula>
    </cfRule>
  </conditionalFormatting>
  <conditionalFormatting sqref="E1353">
    <cfRule type="containsText" dxfId="531" priority="467" operator="containsText" text="Pesquisa de Preços">
      <formula>NOT(ISERROR(SEARCH("Pesquisa de Preços",E1353)))</formula>
    </cfRule>
  </conditionalFormatting>
  <conditionalFormatting sqref="E1392:E1393">
    <cfRule type="containsText" dxfId="530" priority="464" operator="containsText" text="Pesquisa de Preços">
      <formula>NOT(ISERROR(SEARCH("Pesquisa de Preços",E1392)))</formula>
    </cfRule>
  </conditionalFormatting>
  <conditionalFormatting sqref="E2158">
    <cfRule type="containsText" dxfId="529" priority="303" operator="containsText" text="Pesquisa de Preços">
      <formula>NOT(ISERROR(SEARCH("Pesquisa de Preços",E2158)))</formula>
    </cfRule>
  </conditionalFormatting>
  <conditionalFormatting sqref="E1360:E1361 E1363:E1364">
    <cfRule type="containsText" dxfId="528" priority="463" operator="containsText" text="Pesquisa de Preços">
      <formula>NOT(ISERROR(SEARCH("Pesquisa de Preços",E1360)))</formula>
    </cfRule>
  </conditionalFormatting>
  <conditionalFormatting sqref="E1359">
    <cfRule type="containsText" dxfId="527" priority="462" operator="containsText" text="Pesquisa de Preços">
      <formula>NOT(ISERROR(SEARCH("Pesquisa de Preços",E1359)))</formula>
    </cfRule>
  </conditionalFormatting>
  <conditionalFormatting sqref="E1370">
    <cfRule type="containsText" dxfId="526" priority="461" operator="containsText" text="Pesquisa de Preços">
      <formula>NOT(ISERROR(SEARCH("Pesquisa de Preços",E1370)))</formula>
    </cfRule>
  </conditionalFormatting>
  <conditionalFormatting sqref="E1376">
    <cfRule type="containsText" dxfId="525" priority="460" operator="containsText" text="Pesquisa de Preços">
      <formula>NOT(ISERROR(SEARCH("Pesquisa de Preços",E1376)))</formula>
    </cfRule>
  </conditionalFormatting>
  <conditionalFormatting sqref="E1397 E1410">
    <cfRule type="containsText" dxfId="524" priority="439" operator="containsText" text="Pesquisa de Preços">
      <formula>NOT(ISERROR(SEARCH("Pesquisa de Preços",E1397)))</formula>
    </cfRule>
  </conditionalFormatting>
  <conditionalFormatting sqref="E1548">
    <cfRule type="containsText" dxfId="523" priority="458" operator="containsText" text="Pesquisa de Preços">
      <formula>NOT(ISERROR(SEARCH("Pesquisa de Preços",E1548)))</formula>
    </cfRule>
  </conditionalFormatting>
  <conditionalFormatting sqref="E1549:E1550">
    <cfRule type="containsText" dxfId="522" priority="459" operator="containsText" text="Pesquisa de Preços">
      <formula>NOT(ISERROR(SEARCH("Pesquisa de Preços",E1549)))</formula>
    </cfRule>
  </conditionalFormatting>
  <conditionalFormatting sqref="E1551 E1553">
    <cfRule type="containsText" dxfId="521" priority="457" operator="containsText" text="Pesquisa de Preços">
      <formula>NOT(ISERROR(SEARCH("Pesquisa de Preços",E1551)))</formula>
    </cfRule>
  </conditionalFormatting>
  <conditionalFormatting sqref="E1542:E1543">
    <cfRule type="containsText" dxfId="520" priority="456" operator="containsText" text="Pesquisa de Preços">
      <formula>NOT(ISERROR(SEARCH("Pesquisa de Preços",E1542)))</formula>
    </cfRule>
  </conditionalFormatting>
  <conditionalFormatting sqref="E1541">
    <cfRule type="containsText" dxfId="519" priority="455" operator="containsText" text="Pesquisa de Preços">
      <formula>NOT(ISERROR(SEARCH("Pesquisa de Preços",E1541)))</formula>
    </cfRule>
  </conditionalFormatting>
  <conditionalFormatting sqref="E2032">
    <cfRule type="containsText" dxfId="518" priority="297" operator="containsText" text="Pesquisa de Preços">
      <formula>NOT(ISERROR(SEARCH("Pesquisa de Preços",E2032)))</formula>
    </cfRule>
  </conditionalFormatting>
  <conditionalFormatting sqref="E1534 E1540">
    <cfRule type="containsText" dxfId="517" priority="454" operator="containsText" text="Pesquisa de Preços">
      <formula>NOT(ISERROR(SEARCH("Pesquisa de Preços",E1534)))</formula>
    </cfRule>
  </conditionalFormatting>
  <conditionalFormatting sqref="E1533">
    <cfRule type="containsText" dxfId="516" priority="453" operator="containsText" text="Pesquisa de Preços">
      <formula>NOT(ISERROR(SEARCH("Pesquisa de Preços",E1533)))</formula>
    </cfRule>
  </conditionalFormatting>
  <conditionalFormatting sqref="E1518">
    <cfRule type="containsText" dxfId="515" priority="452" operator="containsText" text="Pesquisa de Preços">
      <formula>NOT(ISERROR(SEARCH("Pesquisa de Preços",E1518)))</formula>
    </cfRule>
  </conditionalFormatting>
  <conditionalFormatting sqref="E1517">
    <cfRule type="containsText" dxfId="514" priority="451" operator="containsText" text="Pesquisa de Preços">
      <formula>NOT(ISERROR(SEARCH("Pesquisa de Preços",E1517)))</formula>
    </cfRule>
  </conditionalFormatting>
  <conditionalFormatting sqref="E1556:E1557 E1560:E1561">
    <cfRule type="containsText" dxfId="513" priority="444" operator="containsText" text="Pesquisa de Preços">
      <formula>NOT(ISERROR(SEARCH("Pesquisa de Preços",E1556)))</formula>
    </cfRule>
  </conditionalFormatting>
  <conditionalFormatting sqref="E1485">
    <cfRule type="containsText" dxfId="512" priority="430" operator="containsText" text="Pesquisa de Preços">
      <formula>NOT(ISERROR(SEARCH("Pesquisa de Preços",E1485)))</formula>
    </cfRule>
  </conditionalFormatting>
  <conditionalFormatting sqref="E1487 E1500">
    <cfRule type="containsText" dxfId="511" priority="441" operator="containsText" text="Pesquisa de Preços">
      <formula>NOT(ISERROR(SEARCH("Pesquisa de Preços",E1487)))</formula>
    </cfRule>
  </conditionalFormatting>
  <conditionalFormatting sqref="E1486">
    <cfRule type="containsText" dxfId="510" priority="440" operator="containsText" text="Pesquisa de Preços">
      <formula>NOT(ISERROR(SEARCH("Pesquisa de Preços",E1486)))</formula>
    </cfRule>
  </conditionalFormatting>
  <conditionalFormatting sqref="E1532">
    <cfRule type="containsText" dxfId="509" priority="448" operator="containsText" text="Pesquisa de Preços">
      <formula>NOT(ISERROR(SEARCH("Pesquisa de Preços",E1532)))</formula>
    </cfRule>
  </conditionalFormatting>
  <conditionalFormatting sqref="E1563:E1564 E1567:E1568">
    <cfRule type="containsText" dxfId="508" priority="447" operator="containsText" text="Pesquisa de Preços">
      <formula>NOT(ISERROR(SEARCH("Pesquisa de Preços",E1563)))</formula>
    </cfRule>
  </conditionalFormatting>
  <conditionalFormatting sqref="E1562">
    <cfRule type="containsText" dxfId="507" priority="446" operator="containsText" text="Pesquisa de Preços">
      <formula>NOT(ISERROR(SEARCH("Pesquisa de Preços",E1562)))</formula>
    </cfRule>
  </conditionalFormatting>
  <conditionalFormatting sqref="E1566">
    <cfRule type="containsText" dxfId="506" priority="445" operator="containsText" text="Pesquisa de Preços">
      <formula>NOT(ISERROR(SEARCH("Pesquisa de Preços",E1566)))</formula>
    </cfRule>
  </conditionalFormatting>
  <conditionalFormatting sqref="E1555">
    <cfRule type="containsText" dxfId="505" priority="443" operator="containsText" text="Pesquisa de Preços">
      <formula>NOT(ISERROR(SEARCH("Pesquisa de Preços",E1555)))</formula>
    </cfRule>
  </conditionalFormatting>
  <conditionalFormatting sqref="E1558:E1559">
    <cfRule type="containsText" dxfId="504" priority="442" operator="containsText" text="Pesquisa de Preços">
      <formula>NOT(ISERROR(SEARCH("Pesquisa de Preços",E1558)))</formula>
    </cfRule>
  </conditionalFormatting>
  <conditionalFormatting sqref="E1609">
    <cfRule type="containsText" dxfId="503" priority="408" operator="containsText" text="Pesquisa de Preços">
      <formula>NOT(ISERROR(SEARCH("Pesquisa de Preços",E1609)))</formula>
    </cfRule>
  </conditionalFormatting>
  <conditionalFormatting sqref="E1396">
    <cfRule type="containsText" dxfId="502" priority="438" operator="containsText" text="Pesquisa de Preços">
      <formula>NOT(ISERROR(SEARCH("Pesquisa de Preços",E1396)))</formula>
    </cfRule>
  </conditionalFormatting>
  <conditionalFormatting sqref="E1603 E1607:E1608">
    <cfRule type="containsText" dxfId="501" priority="401" operator="containsText" text="Pesquisa de Preços">
      <formula>NOT(ISERROR(SEARCH("Pesquisa de Preços",E1603)))</formula>
    </cfRule>
  </conditionalFormatting>
  <conditionalFormatting sqref="E1427 E1440">
    <cfRule type="containsText" dxfId="500" priority="437" operator="containsText" text="Pesquisa de Preços">
      <formula>NOT(ISERROR(SEARCH("Pesquisa de Preços",E1427)))</formula>
    </cfRule>
  </conditionalFormatting>
  <conditionalFormatting sqref="E1426">
    <cfRule type="containsText" dxfId="499" priority="436" operator="containsText" text="Pesquisa de Preços">
      <formula>NOT(ISERROR(SEARCH("Pesquisa de Preços",E1426)))</formula>
    </cfRule>
  </conditionalFormatting>
  <conditionalFormatting sqref="E1621 E1625">
    <cfRule type="containsText" dxfId="498" priority="413" operator="containsText" text="Pesquisa de Preços">
      <formula>NOT(ISERROR(SEARCH("Pesquisa de Preços",E1621)))</formula>
    </cfRule>
  </conditionalFormatting>
  <conditionalFormatting sqref="E1412 E1425">
    <cfRule type="containsText" dxfId="497" priority="435" operator="containsText" text="Pesquisa de Preços">
      <formula>NOT(ISERROR(SEARCH("Pesquisa de Preços",E1412)))</formula>
    </cfRule>
  </conditionalFormatting>
  <conditionalFormatting sqref="E1457 E1470">
    <cfRule type="containsText" dxfId="496" priority="433" operator="containsText" text="Pesquisa de Preços">
      <formula>NOT(ISERROR(SEARCH("Pesquisa de Preços",E1457)))</formula>
    </cfRule>
  </conditionalFormatting>
  <conditionalFormatting sqref="E1684 E1687 E1689">
    <cfRule type="containsText" dxfId="495" priority="415" operator="containsText" text="Pesquisa de Preços">
      <formula>NOT(ISERROR(SEARCH("Pesquisa de Preços",E1684)))</formula>
    </cfRule>
  </conditionalFormatting>
  <conditionalFormatting sqref="E1455">
    <cfRule type="containsText" dxfId="494" priority="431" operator="containsText" text="Pesquisa de Preços">
      <formula>NOT(ISERROR(SEARCH("Pesquisa de Preços",E1455)))</formula>
    </cfRule>
  </conditionalFormatting>
  <conditionalFormatting sqref="E2260">
    <cfRule type="containsText" dxfId="493" priority="258" operator="containsText" text="Pesquisa de Preços">
      <formula>NOT(ISERROR(SEARCH("Pesquisa de Preços",E2260)))</formula>
    </cfRule>
  </conditionalFormatting>
  <conditionalFormatting sqref="E1585 E1589">
    <cfRule type="containsText" dxfId="492" priority="423" operator="containsText" text="Pesquisa de Preços">
      <formula>NOT(ISERROR(SEARCH("Pesquisa de Preços",E1585)))</formula>
    </cfRule>
  </conditionalFormatting>
  <conditionalFormatting sqref="E1570:E1571 E1582:E1583">
    <cfRule type="containsText" dxfId="491" priority="429" operator="containsText" text="Pesquisa de Preços">
      <formula>NOT(ISERROR(SEARCH("Pesquisa de Preços",E1570)))</formula>
    </cfRule>
  </conditionalFormatting>
  <conditionalFormatting sqref="E2203">
    <cfRule type="containsText" dxfId="490" priority="274" operator="containsText" text="Pesquisa de Preços">
      <formula>NOT(ISERROR(SEARCH("Pesquisa de Preços",E2203)))</formula>
    </cfRule>
  </conditionalFormatting>
  <conditionalFormatting sqref="E1572:E1581">
    <cfRule type="containsText" dxfId="489" priority="427" operator="containsText" text="Pesquisa de Preços">
      <formula>NOT(ISERROR(SEARCH("Pesquisa de Preços",E1572)))</formula>
    </cfRule>
  </conditionalFormatting>
  <conditionalFormatting sqref="E1384:E1385 E1387:E1388">
    <cfRule type="containsText" dxfId="488" priority="426" operator="containsText" text="Pesquisa de Preços">
      <formula>NOT(ISERROR(SEARCH("Pesquisa de Preços",E1384)))</formula>
    </cfRule>
  </conditionalFormatting>
  <conditionalFormatting sqref="E1383">
    <cfRule type="containsText" dxfId="487" priority="425" operator="containsText" text="Pesquisa de Preços">
      <formula>NOT(ISERROR(SEARCH("Pesquisa de Preços",E1383)))</formula>
    </cfRule>
  </conditionalFormatting>
  <conditionalFormatting sqref="E2222">
    <cfRule type="containsText" dxfId="486" priority="270" operator="containsText" text="Pesquisa de Preços">
      <formula>NOT(ISERROR(SEARCH("Pesquisa de Preços",E2222)))</formula>
    </cfRule>
  </conditionalFormatting>
  <conditionalFormatting sqref="E1386">
    <cfRule type="containsText" dxfId="485" priority="424" operator="containsText" text="Pesquisa de Preços">
      <formula>NOT(ISERROR(SEARCH("Pesquisa de Preços",E1386)))</formula>
    </cfRule>
  </conditionalFormatting>
  <conditionalFormatting sqref="E1584">
    <cfRule type="containsText" dxfId="484" priority="422" operator="containsText" text="Pesquisa de Preços">
      <formula>NOT(ISERROR(SEARCH("Pesquisa de Preços",E1584)))</formula>
    </cfRule>
  </conditionalFormatting>
  <conditionalFormatting sqref="E1627 E1629:E1630">
    <cfRule type="containsText" dxfId="483" priority="407" operator="containsText" text="Pesquisa de Preços">
      <formula>NOT(ISERROR(SEARCH("Pesquisa de Preços",E1627)))</formula>
    </cfRule>
  </conditionalFormatting>
  <conditionalFormatting sqref="E1591 E1595">
    <cfRule type="containsText" dxfId="482" priority="421" operator="containsText" text="Pesquisa de Preços">
      <formula>NOT(ISERROR(SEARCH("Pesquisa de Preços",E1591)))</formula>
    </cfRule>
  </conditionalFormatting>
  <conditionalFormatting sqref="E1590">
    <cfRule type="containsText" dxfId="481" priority="420" operator="containsText" text="Pesquisa de Preços">
      <formula>NOT(ISERROR(SEARCH("Pesquisa de Preços",E1590)))</formula>
    </cfRule>
  </conditionalFormatting>
  <conditionalFormatting sqref="E1637">
    <cfRule type="containsText" dxfId="480" priority="417" operator="containsText" text="Pesquisa de Preços">
      <formula>NOT(ISERROR(SEARCH("Pesquisa de Preços",E1637)))</formula>
    </cfRule>
  </conditionalFormatting>
  <conditionalFormatting sqref="E1601">
    <cfRule type="containsText" dxfId="479" priority="419" operator="containsText" text="Pesquisa de Preços">
      <formula>NOT(ISERROR(SEARCH("Pesquisa de Preços",E1601)))</formula>
    </cfRule>
  </conditionalFormatting>
  <conditionalFormatting sqref="E1638:E1639">
    <cfRule type="containsText" dxfId="478" priority="418" operator="containsText" text="Pesquisa de Preços">
      <formula>NOT(ISERROR(SEARCH("Pesquisa de Preços",E1638)))</formula>
    </cfRule>
  </conditionalFormatting>
  <conditionalFormatting sqref="E2238">
    <cfRule type="containsText" dxfId="477" priority="266" operator="containsText" text="Pesquisa de Preços">
      <formula>NOT(ISERROR(SEARCH("Pesquisa de Preços",E2238)))</formula>
    </cfRule>
  </conditionalFormatting>
  <conditionalFormatting sqref="E1640:E1641">
    <cfRule type="containsText" dxfId="476" priority="416" operator="containsText" text="Pesquisa de Preços">
      <formula>NOT(ISERROR(SEARCH("Pesquisa de Preços",E1640)))</formula>
    </cfRule>
  </conditionalFormatting>
  <conditionalFormatting sqref="E1683">
    <cfRule type="containsText" dxfId="475" priority="414" operator="containsText" text="Pesquisa de Preços">
      <formula>NOT(ISERROR(SEARCH("Pesquisa de Preços",E1683)))</formula>
    </cfRule>
  </conditionalFormatting>
  <conditionalFormatting sqref="E1615 E1619">
    <cfRule type="containsText" dxfId="474" priority="411" operator="containsText" text="Pesquisa de Preços">
      <formula>NOT(ISERROR(SEARCH("Pesquisa de Preços",E1615)))</formula>
    </cfRule>
  </conditionalFormatting>
  <conditionalFormatting sqref="E1620">
    <cfRule type="containsText" dxfId="473" priority="412" operator="containsText" text="Pesquisa de Preços">
      <formula>NOT(ISERROR(SEARCH("Pesquisa de Preços",E1620)))</formula>
    </cfRule>
  </conditionalFormatting>
  <conditionalFormatting sqref="E1614">
    <cfRule type="containsText" dxfId="472" priority="410" operator="containsText" text="Pesquisa de Preços">
      <formula>NOT(ISERROR(SEARCH("Pesquisa de Preços",E1614)))</formula>
    </cfRule>
  </conditionalFormatting>
  <conditionalFormatting sqref="E1610 E1612:E1613">
    <cfRule type="containsText" dxfId="471" priority="409" operator="containsText" text="Pesquisa de Preços">
      <formula>NOT(ISERROR(SEARCH("Pesquisa de Preços",E1610)))</formula>
    </cfRule>
  </conditionalFormatting>
  <conditionalFormatting sqref="E1632 E1635:E1636">
    <cfRule type="containsText" dxfId="470" priority="405" operator="containsText" text="Pesquisa de Preços">
      <formula>NOT(ISERROR(SEARCH("Pesquisa de Preços",E1632)))</formula>
    </cfRule>
  </conditionalFormatting>
  <conditionalFormatting sqref="E1736 E1727:E1729">
    <cfRule type="containsText" dxfId="469" priority="389" operator="containsText" text="Pesquisa de Preços">
      <formula>NOT(ISERROR(SEARCH("Pesquisa de Preços",E1727)))</formula>
    </cfRule>
  </conditionalFormatting>
  <conditionalFormatting sqref="E1677 E1681:E1682">
    <cfRule type="containsText" dxfId="468" priority="403" operator="containsText" text="Pesquisa de Preços">
      <formula>NOT(ISERROR(SEARCH("Pesquisa de Preços",E1677)))</formula>
    </cfRule>
  </conditionalFormatting>
  <conditionalFormatting sqref="E1676">
    <cfRule type="containsText" dxfId="467" priority="402" operator="containsText" text="Pesquisa de Preços">
      <formula>NOT(ISERROR(SEARCH("Pesquisa de Preços",E1676)))</formula>
    </cfRule>
  </conditionalFormatting>
  <conditionalFormatting sqref="E2334">
    <cfRule type="containsText" dxfId="466" priority="235" operator="containsText" text="Pesquisa de Preços">
      <formula>NOT(ISERROR(SEARCH("Pesquisa de Preços",E2334)))</formula>
    </cfRule>
  </conditionalFormatting>
  <conditionalFormatting sqref="E2329">
    <cfRule type="containsText" dxfId="465" priority="237" operator="containsText" text="Pesquisa de Preços">
      <formula>NOT(ISERROR(SEARCH("Pesquisa de Preços",E2329)))</formula>
    </cfRule>
  </conditionalFormatting>
  <conditionalFormatting sqref="E1671 E1674:E1675">
    <cfRule type="containsText" dxfId="464" priority="399" operator="containsText" text="Pesquisa de Preços">
      <formula>NOT(ISERROR(SEARCH("Pesquisa de Preços",E1671)))</formula>
    </cfRule>
  </conditionalFormatting>
  <conditionalFormatting sqref="E1670">
    <cfRule type="containsText" dxfId="463" priority="398" operator="containsText" text="Pesquisa de Preços">
      <formula>NOT(ISERROR(SEARCH("Pesquisa de Preços",E1670)))</formula>
    </cfRule>
  </conditionalFormatting>
  <conditionalFormatting sqref="E1666 E1668:E1669">
    <cfRule type="containsText" dxfId="462" priority="397" operator="containsText" text="Pesquisa de Preços">
      <formula>NOT(ISERROR(SEARCH("Pesquisa de Preços",E1666)))</formula>
    </cfRule>
  </conditionalFormatting>
  <conditionalFormatting sqref="E1665">
    <cfRule type="containsText" dxfId="461" priority="396" operator="containsText" text="Pesquisa de Preços">
      <formula>NOT(ISERROR(SEARCH("Pesquisa de Preços",E1665)))</formula>
    </cfRule>
  </conditionalFormatting>
  <conditionalFormatting sqref="E1716:E1717 E1725">
    <cfRule type="containsText" dxfId="460" priority="383" operator="containsText" text="Pesquisa de Preços">
      <formula>NOT(ISERROR(SEARCH("Pesquisa de Preços",E1716)))</formula>
    </cfRule>
  </conditionalFormatting>
  <conditionalFormatting sqref="E1661">
    <cfRule type="containsText" dxfId="459" priority="393" operator="containsText" text="Pesquisa de Preços">
      <formula>NOT(ISERROR(SEARCH("Pesquisa de Preços",E1661)))</formula>
    </cfRule>
  </conditionalFormatting>
  <conditionalFormatting sqref="E1656">
    <cfRule type="containsText" dxfId="458" priority="395" operator="containsText" text="Pesquisa de Preços">
      <formula>NOT(ISERROR(SEARCH("Pesquisa de Preços",E1656)))</formula>
    </cfRule>
  </conditionalFormatting>
  <conditionalFormatting sqref="E1655">
    <cfRule type="containsText" dxfId="457" priority="394" operator="containsText" text="Pesquisa de Preços">
      <formula>NOT(ISERROR(SEARCH("Pesquisa de Preços",E1655)))</formula>
    </cfRule>
  </conditionalFormatting>
  <conditionalFormatting sqref="E2306">
    <cfRule type="containsText" dxfId="456" priority="245" operator="containsText" text="Pesquisa de Preços">
      <formula>NOT(ISERROR(SEARCH("Pesquisa de Preços",E2306)))</formula>
    </cfRule>
  </conditionalFormatting>
  <conditionalFormatting sqref="E2318">
    <cfRule type="containsText" dxfId="455" priority="243" operator="containsText" text="Pesquisa de Preços">
      <formula>NOT(ISERROR(SEARCH("Pesquisa de Preços",E2318)))</formula>
    </cfRule>
  </conditionalFormatting>
  <conditionalFormatting sqref="E1650 E1653:E1654">
    <cfRule type="containsText" dxfId="454" priority="391" operator="containsText" text="Pesquisa de Preços">
      <formula>NOT(ISERROR(SEARCH("Pesquisa de Preços",E1650)))</formula>
    </cfRule>
  </conditionalFormatting>
  <conditionalFormatting sqref="E1738 E1747">
    <cfRule type="containsText" dxfId="453" priority="387" operator="containsText" text="Pesquisa de Preços">
      <formula>NOT(ISERROR(SEARCH("Pesquisa de Preços",E1738)))</formula>
    </cfRule>
  </conditionalFormatting>
  <conditionalFormatting sqref="E1705:E1706 E1714">
    <cfRule type="containsText" dxfId="452" priority="385" operator="containsText" text="Pesquisa de Preços">
      <formula>NOT(ISERROR(SEARCH("Pesquisa de Preços",E1705)))</formula>
    </cfRule>
  </conditionalFormatting>
  <conditionalFormatting sqref="E888">
    <cfRule type="containsText" dxfId="451" priority="233" operator="containsText" text="Pesquisa de Preços">
      <formula>NOT(ISERROR(SEARCH("Pesquisa de Preços",E888)))</formula>
    </cfRule>
  </conditionalFormatting>
  <conditionalFormatting sqref="E869">
    <cfRule type="containsText" dxfId="450" priority="231" operator="containsText" text="Pesquisa de Preços">
      <formula>NOT(ISERROR(SEARCH("Pesquisa de Preços",E869)))</formula>
    </cfRule>
  </conditionalFormatting>
  <conditionalFormatting sqref="E1691:E1692 E1694:E1695">
    <cfRule type="containsText" dxfId="449" priority="381" operator="containsText" text="Pesquisa de Preços">
      <formula>NOT(ISERROR(SEARCH("Pesquisa de Preços",E1691)))</formula>
    </cfRule>
  </conditionalFormatting>
  <conditionalFormatting sqref="E876">
    <cfRule type="containsText" dxfId="448" priority="228" operator="containsText" text="Pesquisa de Preços">
      <formula>NOT(ISERROR(SEARCH("Pesquisa de Preços",E876)))</formula>
    </cfRule>
  </conditionalFormatting>
  <conditionalFormatting sqref="E1697">
    <cfRule type="containsText" dxfId="447" priority="379" operator="containsText" text="Pesquisa de Preços">
      <formula>NOT(ISERROR(SEARCH("Pesquisa de Preços",E1697)))</formula>
    </cfRule>
  </conditionalFormatting>
  <conditionalFormatting sqref="E848">
    <cfRule type="containsText" dxfId="446" priority="225" operator="containsText" text="Pesquisa de Preços">
      <formula>NOT(ISERROR(SEARCH("Pesquisa de Preços",E848)))</formula>
    </cfRule>
  </conditionalFormatting>
  <conditionalFormatting sqref="E1700:E1701">
    <cfRule type="containsText" dxfId="445" priority="377" operator="containsText" text="Pesquisa de Preços">
      <formula>NOT(ISERROR(SEARCH("Pesquisa de Preços",E1700)))</formula>
    </cfRule>
  </conditionalFormatting>
  <conditionalFormatting sqref="E1809">
    <cfRule type="containsText" dxfId="444" priority="376" operator="containsText" text="Pesquisa de Preços">
      <formula>NOT(ISERROR(SEARCH("Pesquisa de Preços",E1809)))</formula>
    </cfRule>
  </conditionalFormatting>
  <conditionalFormatting sqref="E1808">
    <cfRule type="containsText" dxfId="443" priority="375" operator="containsText" text="Pesquisa de Preços">
      <formula>NOT(ISERROR(SEARCH("Pesquisa de Preços",E1808)))</formula>
    </cfRule>
  </conditionalFormatting>
  <conditionalFormatting sqref="E1835">
    <cfRule type="containsText" dxfId="442" priority="366" operator="containsText" text="Pesquisa de Preços">
      <formula>NOT(ISERROR(SEARCH("Pesquisa de Preços",E1835)))</formula>
    </cfRule>
  </conditionalFormatting>
  <conditionalFormatting sqref="E1804">
    <cfRule type="containsText" dxfId="441" priority="374" operator="containsText" text="Pesquisa de Preços">
      <formula>NOT(ISERROR(SEARCH("Pesquisa de Preços",E1804)))</formula>
    </cfRule>
  </conditionalFormatting>
  <conditionalFormatting sqref="E1803">
    <cfRule type="containsText" dxfId="440" priority="373" operator="containsText" text="Pesquisa de Preços">
      <formula>NOT(ISERROR(SEARCH("Pesquisa de Preços",E1803)))</formula>
    </cfRule>
  </conditionalFormatting>
  <conditionalFormatting sqref="E1814 E1817:E1818">
    <cfRule type="containsText" dxfId="439" priority="372" operator="containsText" text="Pesquisa de Preços">
      <formula>NOT(ISERROR(SEARCH("Pesquisa de Preços",E1814)))</formula>
    </cfRule>
  </conditionalFormatting>
  <conditionalFormatting sqref="E1813">
    <cfRule type="containsText" dxfId="438" priority="371" operator="containsText" text="Pesquisa de Preços">
      <formula>NOT(ISERROR(SEARCH("Pesquisa de Preços",E1813)))</formula>
    </cfRule>
  </conditionalFormatting>
  <conditionalFormatting sqref="E1816">
    <cfRule type="containsText" dxfId="437" priority="370" operator="containsText" text="Pesquisa de Preços">
      <formula>NOT(ISERROR(SEARCH("Pesquisa de Preços",E1816)))</formula>
    </cfRule>
  </conditionalFormatting>
  <conditionalFormatting sqref="E1824">
    <cfRule type="containsText" dxfId="436" priority="369" operator="containsText" text="Pesquisa de Preços">
      <formula>NOT(ISERROR(SEARCH("Pesquisa de Preços",E1824)))</formula>
    </cfRule>
  </conditionalFormatting>
  <conditionalFormatting sqref="E1833:E1834 E1836:E1837">
    <cfRule type="containsText" dxfId="435" priority="368" operator="containsText" text="Pesquisa de Preços">
      <formula>NOT(ISERROR(SEARCH("Pesquisa de Preços",E1833)))</formula>
    </cfRule>
  </conditionalFormatting>
  <conditionalFormatting sqref="E1839:E1840 E1842:E1843">
    <cfRule type="containsText" dxfId="434" priority="365" operator="containsText" text="Pesquisa de Preços">
      <formula>NOT(ISERROR(SEARCH("Pesquisa de Preços",E1839)))</formula>
    </cfRule>
  </conditionalFormatting>
  <conditionalFormatting sqref="E1847">
    <cfRule type="containsText" dxfId="433" priority="358" operator="containsText" text="Pesquisa de Preços">
      <formula>NOT(ISERROR(SEARCH("Pesquisa de Preços",E1847)))</formula>
    </cfRule>
  </conditionalFormatting>
  <conditionalFormatting sqref="E1841">
    <cfRule type="containsText" dxfId="432" priority="363" operator="containsText" text="Pesquisa de Preços">
      <formula>NOT(ISERROR(SEARCH("Pesquisa de Preços",E1841)))</formula>
    </cfRule>
  </conditionalFormatting>
  <conditionalFormatting sqref="E1826:E1827 E1831">
    <cfRule type="containsText" dxfId="431" priority="362" operator="containsText" text="Pesquisa de Preços">
      <formula>NOT(ISERROR(SEARCH("Pesquisa de Preços",E1826)))</formula>
    </cfRule>
  </conditionalFormatting>
  <conditionalFormatting sqref="E1845:E1846 E1848:E1849">
    <cfRule type="containsText" dxfId="430" priority="360" operator="containsText" text="Pesquisa de Preços">
      <formula>NOT(ISERROR(SEARCH("Pesquisa de Preços",E1845)))</formula>
    </cfRule>
  </conditionalFormatting>
  <conditionalFormatting sqref="E2339">
    <cfRule type="containsText" dxfId="429" priority="206" operator="containsText" text="Pesquisa de Preços">
      <formula>NOT(ISERROR(SEARCH("Pesquisa de Preços",E2339)))</formula>
    </cfRule>
  </conditionalFormatting>
  <conditionalFormatting sqref="E1855">
    <cfRule type="containsText" dxfId="428" priority="357" operator="containsText" text="Pesquisa de Preços">
      <formula>NOT(ISERROR(SEARCH("Pesquisa de Preços",E1855)))</formula>
    </cfRule>
  </conditionalFormatting>
  <conditionalFormatting sqref="E2366">
    <cfRule type="containsText" dxfId="427" priority="203" operator="containsText" text="Pesquisa de Preços">
      <formula>NOT(ISERROR(SEARCH("Pesquisa de Preços",E2366)))</formula>
    </cfRule>
  </conditionalFormatting>
  <conditionalFormatting sqref="E1891">
    <cfRule type="containsText" dxfId="426" priority="356" operator="containsText" text="Pesquisa de Preços">
      <formula>NOT(ISERROR(SEARCH("Pesquisa de Preços",E1891)))</formula>
    </cfRule>
  </conditionalFormatting>
  <conditionalFormatting sqref="E2360">
    <cfRule type="containsText" dxfId="425" priority="201" operator="containsText" text="Pesquisa de Preços">
      <formula>NOT(ISERROR(SEARCH("Pesquisa de Preços",E2360)))</formula>
    </cfRule>
  </conditionalFormatting>
  <conditionalFormatting sqref="E1867">
    <cfRule type="containsText" dxfId="424" priority="355" operator="containsText" text="Pesquisa de Preços">
      <formula>NOT(ISERROR(SEARCH("Pesquisa de Preços",E1867)))</formula>
    </cfRule>
  </conditionalFormatting>
  <conditionalFormatting sqref="E1885">
    <cfRule type="containsText" dxfId="423" priority="354" operator="containsText" text="Pesquisa de Preços">
      <formula>NOT(ISERROR(SEARCH("Pesquisa de Preços",E1885)))</formula>
    </cfRule>
  </conditionalFormatting>
  <conditionalFormatting sqref="E1861">
    <cfRule type="containsText" dxfId="422" priority="353" operator="containsText" text="Pesquisa de Preços">
      <formula>NOT(ISERROR(SEARCH("Pesquisa de Preços",E1861)))</formula>
    </cfRule>
  </conditionalFormatting>
  <conditionalFormatting sqref="E1873">
    <cfRule type="containsText" dxfId="421" priority="352" operator="containsText" text="Pesquisa de Preços">
      <formula>NOT(ISERROR(SEARCH("Pesquisa de Preços",E1873)))</formula>
    </cfRule>
  </conditionalFormatting>
  <conditionalFormatting sqref="E1895">
    <cfRule type="containsText" dxfId="420" priority="348" operator="containsText" text="Pesquisa de Preços">
      <formula>NOT(ISERROR(SEARCH("Pesquisa de Preços",E1895)))</formula>
    </cfRule>
  </conditionalFormatting>
  <conditionalFormatting sqref="E1879">
    <cfRule type="containsText" dxfId="419" priority="351" operator="containsText" text="Pesquisa de Preços">
      <formula>NOT(ISERROR(SEARCH("Pesquisa de Preços",E1879)))</formula>
    </cfRule>
  </conditionalFormatting>
  <conditionalFormatting sqref="E1920 E1923:E1924">
    <cfRule type="containsText" dxfId="418" priority="340" operator="containsText" text="Pesquisa de Preços">
      <formula>NOT(ISERROR(SEARCH("Pesquisa de Preços",E1920)))</formula>
    </cfRule>
  </conditionalFormatting>
  <conditionalFormatting sqref="E1893:E1894 E1896:E1897">
    <cfRule type="containsText" dxfId="417" priority="350" operator="containsText" text="Pesquisa de Preços">
      <formula>NOT(ISERROR(SEARCH("Pesquisa de Preços",E1893)))</formula>
    </cfRule>
  </conditionalFormatting>
  <conditionalFormatting sqref="E1901">
    <cfRule type="containsText" dxfId="416" priority="345" operator="containsText" text="Pesquisa de Preços">
      <formula>NOT(ISERROR(SEARCH("Pesquisa de Preços",E1901)))</formula>
    </cfRule>
  </conditionalFormatting>
  <conditionalFormatting sqref="E1899:E1900 E1902:E1903">
    <cfRule type="containsText" dxfId="415" priority="347" operator="containsText" text="Pesquisa de Preços">
      <formula>NOT(ISERROR(SEARCH("Pesquisa de Preços",E1899)))</formula>
    </cfRule>
  </conditionalFormatting>
  <conditionalFormatting sqref="E1915:E1916 E1918">
    <cfRule type="containsText" dxfId="414" priority="344" operator="containsText" text="Pesquisa de Preços">
      <formula>NOT(ISERROR(SEARCH("Pesquisa de Preços",E1915)))</formula>
    </cfRule>
  </conditionalFormatting>
  <conditionalFormatting sqref="E1910">
    <cfRule type="containsText" dxfId="413" priority="342" operator="containsText" text="Pesquisa de Preços">
      <formula>NOT(ISERROR(SEARCH("Pesquisa de Preços",E1910)))</formula>
    </cfRule>
  </conditionalFormatting>
  <conditionalFormatting sqref="E1941:E1942 E1944:E1945">
    <cfRule type="containsText" dxfId="412" priority="338" operator="containsText" text="Pesquisa de Preços">
      <formula>NOT(ISERROR(SEARCH("Pesquisa de Preços",E1941)))</formula>
    </cfRule>
  </conditionalFormatting>
  <conditionalFormatting sqref="E1943">
    <cfRule type="containsText" dxfId="411" priority="336" operator="containsText" text="Pesquisa de Preços">
      <formula>NOT(ISERROR(SEARCH("Pesquisa de Preços",E1943)))</formula>
    </cfRule>
  </conditionalFormatting>
  <conditionalFormatting sqref="E1950:E1951">
    <cfRule type="containsText" dxfId="410" priority="335" operator="containsText" text="Pesquisa de Preços">
      <formula>NOT(ISERROR(SEARCH("Pesquisa de Preços",E1950)))</formula>
    </cfRule>
  </conditionalFormatting>
  <conditionalFormatting sqref="E1960:E1961 E1964:E1965">
    <cfRule type="containsText" dxfId="409" priority="329" operator="containsText" text="Pesquisa de Preços">
      <formula>NOT(ISERROR(SEARCH("Pesquisa de Preços",E1960)))</formula>
    </cfRule>
  </conditionalFormatting>
  <conditionalFormatting sqref="E1962:E1963">
    <cfRule type="containsText" dxfId="408" priority="327" operator="containsText" text="Pesquisa de Preços">
      <formula>NOT(ISERROR(SEARCH("Pesquisa de Preços",E1962)))</formula>
    </cfRule>
  </conditionalFormatting>
  <conditionalFormatting sqref="E1975:E1976 E1980:E1981">
    <cfRule type="containsText" dxfId="407" priority="334" operator="containsText" text="Pesquisa de Preços">
      <formula>NOT(ISERROR(SEARCH("Pesquisa de Preços",E1975)))</formula>
    </cfRule>
  </conditionalFormatting>
  <conditionalFormatting sqref="E1974">
    <cfRule type="containsText" dxfId="406" priority="333" operator="containsText" text="Pesquisa de Preços">
      <formula>NOT(ISERROR(SEARCH("Pesquisa de Preços",E1974)))</formula>
    </cfRule>
  </conditionalFormatting>
  <conditionalFormatting sqref="E1977:E1978">
    <cfRule type="containsText" dxfId="405" priority="332" operator="containsText" text="Pesquisa de Preços">
      <formula>NOT(ISERROR(SEARCH("Pesquisa de Preços",E1977)))</formula>
    </cfRule>
  </conditionalFormatting>
  <conditionalFormatting sqref="E1967 E1973">
    <cfRule type="containsText" dxfId="404" priority="331" operator="containsText" text="Pesquisa de Preços">
      <formula>NOT(ISERROR(SEARCH("Pesquisa de Preços",E1967)))</formula>
    </cfRule>
  </conditionalFormatting>
  <conditionalFormatting sqref="E1952">
    <cfRule type="containsText" dxfId="403" priority="325" operator="containsText" text="Pesquisa de Preços">
      <formula>NOT(ISERROR(SEARCH("Pesquisa de Preços",E1952)))</formula>
    </cfRule>
  </conditionalFormatting>
  <conditionalFormatting sqref="E1953:E1954 E1957:E1958">
    <cfRule type="containsText" dxfId="402" priority="326" operator="containsText" text="Pesquisa de Preços">
      <formula>NOT(ISERROR(SEARCH("Pesquisa de Preços",E1953)))</formula>
    </cfRule>
  </conditionalFormatting>
  <conditionalFormatting sqref="E1955:E1956">
    <cfRule type="containsText" dxfId="401" priority="324" operator="containsText" text="Pesquisa de Preços">
      <formula>NOT(ISERROR(SEARCH("Pesquisa de Preços",E1955)))</formula>
    </cfRule>
  </conditionalFormatting>
  <conditionalFormatting sqref="E2004 E2009">
    <cfRule type="containsText" dxfId="400" priority="323" operator="containsText" text="Pesquisa de Preços">
      <formula>NOT(ISERROR(SEARCH("Pesquisa de Preços",E2004)))</formula>
    </cfRule>
  </conditionalFormatting>
  <conditionalFormatting sqref="E1999:E2000">
    <cfRule type="containsText" dxfId="399" priority="319" operator="containsText" text="Pesquisa de Preços">
      <formula>NOT(ISERROR(SEARCH("Pesquisa de Preços",E1999)))</formula>
    </cfRule>
  </conditionalFormatting>
  <conditionalFormatting sqref="E2001:E2002 E1997:E1998">
    <cfRule type="containsText" dxfId="398" priority="321" operator="containsText" text="Pesquisa de Preços">
      <formula>NOT(ISERROR(SEARCH("Pesquisa de Preços",E1997)))</formula>
    </cfRule>
  </conditionalFormatting>
  <conditionalFormatting sqref="E1992:E1993">
    <cfRule type="containsText" dxfId="397" priority="316" operator="containsText" text="Pesquisa de Preços">
      <formula>NOT(ISERROR(SEARCH("Pesquisa de Preços",E1992)))</formula>
    </cfRule>
  </conditionalFormatting>
  <conditionalFormatting sqref="E1994:E1995 E1990:E1991">
    <cfRule type="containsText" dxfId="396" priority="318" operator="containsText" text="Pesquisa de Preços">
      <formula>NOT(ISERROR(SEARCH("Pesquisa de Preços",E1990)))</formula>
    </cfRule>
  </conditionalFormatting>
  <conditionalFormatting sqref="E1983 E1988">
    <cfRule type="containsText" dxfId="395" priority="315" operator="containsText" text="Pesquisa de Preços">
      <formula>NOT(ISERROR(SEARCH("Pesquisa de Preços",E1983)))</formula>
    </cfRule>
  </conditionalFormatting>
  <conditionalFormatting sqref="E2128">
    <cfRule type="containsText" dxfId="394" priority="312" operator="containsText" text="Pesquisa de Preços">
      <formula>NOT(ISERROR(SEARCH("Pesquisa de Preços",E2128)))</formula>
    </cfRule>
  </conditionalFormatting>
  <conditionalFormatting sqref="E2129:E2130">
    <cfRule type="containsText" dxfId="393" priority="313" operator="containsText" text="Pesquisa de Preços">
      <formula>NOT(ISERROR(SEARCH("Pesquisa de Preços",E2129)))</formula>
    </cfRule>
  </conditionalFormatting>
  <conditionalFormatting sqref="E2131:E2132">
    <cfRule type="containsText" dxfId="392" priority="311" operator="containsText" text="Pesquisa de Preços">
      <formula>NOT(ISERROR(SEARCH("Pesquisa de Preços",E2131)))</formula>
    </cfRule>
  </conditionalFormatting>
  <conditionalFormatting sqref="E2117:E2118">
    <cfRule type="containsText" dxfId="391" priority="310" operator="containsText" text="Pesquisa de Preços">
      <formula>NOT(ISERROR(SEARCH("Pesquisa de Preços",E2117)))</formula>
    </cfRule>
  </conditionalFormatting>
  <conditionalFormatting sqref="E2116">
    <cfRule type="containsText" dxfId="390" priority="309" operator="containsText" text="Pesquisa de Preços">
      <formula>NOT(ISERROR(SEARCH("Pesquisa de Preços",E2116)))</formula>
    </cfRule>
  </conditionalFormatting>
  <conditionalFormatting sqref="E2120">
    <cfRule type="containsText" dxfId="389" priority="308" operator="containsText" text="Pesquisa de Preços">
      <formula>NOT(ISERROR(SEARCH("Pesquisa de Preços",E2120)))</formula>
    </cfRule>
  </conditionalFormatting>
  <conditionalFormatting sqref="E2143 E2147:E2149">
    <cfRule type="containsText" dxfId="388" priority="307" operator="containsText" text="Pesquisa de Preços">
      <formula>NOT(ISERROR(SEARCH("Pesquisa de Preços",E2143)))</formula>
    </cfRule>
  </conditionalFormatting>
  <conditionalFormatting sqref="E2142">
    <cfRule type="containsText" dxfId="387" priority="306" operator="containsText" text="Pesquisa de Preços">
      <formula>NOT(ISERROR(SEARCH("Pesquisa de Preços",E2142)))</formula>
    </cfRule>
  </conditionalFormatting>
  <conditionalFormatting sqref="E2146">
    <cfRule type="containsText" dxfId="386" priority="305" operator="containsText" text="Pesquisa de Preços">
      <formula>NOT(ISERROR(SEARCH("Pesquisa de Preços",E2146)))</formula>
    </cfRule>
  </conditionalFormatting>
  <conditionalFormatting sqref="E2159 E2163:E2165">
    <cfRule type="containsText" dxfId="385" priority="304" operator="containsText" text="Pesquisa de Preços">
      <formula>NOT(ISERROR(SEARCH("Pesquisa de Preços",E2159)))</formula>
    </cfRule>
  </conditionalFormatting>
  <conditionalFormatting sqref="E2139:E2141">
    <cfRule type="containsText" dxfId="384" priority="302" operator="containsText" text="Pesquisa de Preços">
      <formula>NOT(ISERROR(SEARCH("Pesquisa de Preços",E2139)))</formula>
    </cfRule>
  </conditionalFormatting>
  <conditionalFormatting sqref="E2171:E2173">
    <cfRule type="containsText" dxfId="383" priority="301" operator="containsText" text="Pesquisa de Preços">
      <formula>NOT(ISERROR(SEARCH("Pesquisa de Preços",E2171)))</formula>
    </cfRule>
  </conditionalFormatting>
  <conditionalFormatting sqref="E2049 E2053:E2055">
    <cfRule type="containsText" dxfId="382" priority="296" operator="containsText" text="Pesquisa de Preços">
      <formula>NOT(ISERROR(SEARCH("Pesquisa de Preços",E2049)))</formula>
    </cfRule>
  </conditionalFormatting>
  <conditionalFormatting sqref="E2155:E2157">
    <cfRule type="containsText" dxfId="381" priority="300" operator="containsText" text="Pesquisa de Preços">
      <formula>NOT(ISERROR(SEARCH("Pesquisa de Preços",E2155)))</formula>
    </cfRule>
  </conditionalFormatting>
  <conditionalFormatting sqref="E2048">
    <cfRule type="containsText" dxfId="380" priority="295" operator="containsText" text="Pesquisa de Preços">
      <formula>NOT(ISERROR(SEARCH("Pesquisa de Preços",E2048)))</formula>
    </cfRule>
  </conditionalFormatting>
  <conditionalFormatting sqref="E2179:E2181">
    <cfRule type="containsText" dxfId="379" priority="299" operator="containsText" text="Pesquisa de Preços">
      <formula>NOT(ISERROR(SEARCH("Pesquisa de Preços",E2179)))</formula>
    </cfRule>
  </conditionalFormatting>
  <conditionalFormatting sqref="E2231:E2235">
    <cfRule type="containsText" dxfId="378" priority="255" operator="containsText" text="Pesquisa de Preços">
      <formula>NOT(ISERROR(SEARCH("Pesquisa de Preços",E2231)))</formula>
    </cfRule>
  </conditionalFormatting>
  <conditionalFormatting sqref="E2033 E2037:E2039">
    <cfRule type="containsText" dxfId="377" priority="298" operator="containsText" text="Pesquisa de Preços">
      <formula>NOT(ISERROR(SEARCH("Pesquisa de Preços",E2033)))</formula>
    </cfRule>
  </conditionalFormatting>
  <conditionalFormatting sqref="E2041 E2045:E2047">
    <cfRule type="containsText" dxfId="376" priority="290" operator="containsText" text="Pesquisa de Preços">
      <formula>NOT(ISERROR(SEARCH("Pesquisa de Preços",E2041)))</formula>
    </cfRule>
  </conditionalFormatting>
  <conditionalFormatting sqref="E2313:E2314 E2317">
    <cfRule type="containsText" dxfId="375" priority="248" operator="containsText" text="Pesquisa de Preços">
      <formula>NOT(ISERROR(SEARCH("Pesquisa de Preços",E2313)))</formula>
    </cfRule>
  </conditionalFormatting>
  <conditionalFormatting sqref="E2025 E2029:E2031">
    <cfRule type="containsText" dxfId="374" priority="294" operator="containsText" text="Pesquisa de Preços">
      <formula>NOT(ISERROR(SEARCH("Pesquisa de Preços",E2025)))</formula>
    </cfRule>
  </conditionalFormatting>
  <conditionalFormatting sqref="E2024">
    <cfRule type="containsText" dxfId="373" priority="293" operator="containsText" text="Pesquisa de Preços">
      <formula>NOT(ISERROR(SEARCH("Pesquisa de Preços",E2024)))</formula>
    </cfRule>
  </conditionalFormatting>
  <conditionalFormatting sqref="E2057 E2061:E2063">
    <cfRule type="containsText" dxfId="372" priority="292" operator="containsText" text="Pesquisa de Preços">
      <formula>NOT(ISERROR(SEARCH("Pesquisa de Preços",E2057)))</formula>
    </cfRule>
  </conditionalFormatting>
  <conditionalFormatting sqref="E2056">
    <cfRule type="containsText" dxfId="371" priority="291" operator="containsText" text="Pesquisa de Preços">
      <formula>NOT(ISERROR(SEARCH("Pesquisa de Preços",E2056)))</formula>
    </cfRule>
  </conditionalFormatting>
  <conditionalFormatting sqref="E2273:E2274">
    <cfRule type="containsText" dxfId="370" priority="260" operator="containsText" text="Pesquisa de Preços">
      <formula>NOT(ISERROR(SEARCH("Pesquisa de Preços",E2273)))</formula>
    </cfRule>
  </conditionalFormatting>
  <conditionalFormatting sqref="E2040">
    <cfRule type="containsText" dxfId="369" priority="289" operator="containsText" text="Pesquisa de Preços">
      <formula>NOT(ISERROR(SEARCH("Pesquisa de Preços",E2040)))</formula>
    </cfRule>
  </conditionalFormatting>
  <conditionalFormatting sqref="E2276">
    <cfRule type="containsText" dxfId="368" priority="263" operator="containsText" text="Pesquisa de Preços">
      <formula>NOT(ISERROR(SEARCH("Pesquisa de Preços",E2276)))</formula>
    </cfRule>
  </conditionalFormatting>
  <conditionalFormatting sqref="E2065 E2069:E2071">
    <cfRule type="containsText" dxfId="367" priority="288" operator="containsText" text="Pesquisa de Preços">
      <formula>NOT(ISERROR(SEARCH("Pesquisa de Preços",E2065)))</formula>
    </cfRule>
  </conditionalFormatting>
  <conditionalFormatting sqref="E2064">
    <cfRule type="containsText" dxfId="366" priority="287" operator="containsText" text="Pesquisa de Preços">
      <formula>NOT(ISERROR(SEARCH("Pesquisa de Preços",E2064)))</formula>
    </cfRule>
  </conditionalFormatting>
  <conditionalFormatting sqref="E2239">
    <cfRule type="containsText" dxfId="365" priority="267" operator="containsText" text="Pesquisa de Preços">
      <formula>NOT(ISERROR(SEARCH("Pesquisa de Preços",E2239)))</formula>
    </cfRule>
  </conditionalFormatting>
  <conditionalFormatting sqref="E2023">
    <cfRule type="containsText" dxfId="364" priority="286" operator="containsText" text="Pesquisa de Preços">
      <formula>NOT(ISERROR(SEARCH("Pesquisa de Preços",E2023)))</formula>
    </cfRule>
  </conditionalFormatting>
  <conditionalFormatting sqref="E2101:E2103">
    <cfRule type="containsText" dxfId="363" priority="285" operator="containsText" text="Pesquisa de Preços">
      <formula>NOT(ISERROR(SEARCH("Pesquisa de Preços",E2101)))</formula>
    </cfRule>
  </conditionalFormatting>
  <conditionalFormatting sqref="E2216">
    <cfRule type="containsText" dxfId="362" priority="268" operator="containsText" text="Pesquisa de Preços">
      <formula>NOT(ISERROR(SEARCH("Pesquisa de Preços",E2216)))</formula>
    </cfRule>
  </conditionalFormatting>
  <conditionalFormatting sqref="E2093:E2095">
    <cfRule type="containsText" dxfId="361" priority="284" operator="containsText" text="Pesquisa de Preços">
      <formula>NOT(ISERROR(SEARCH("Pesquisa de Preços",E2093)))</formula>
    </cfRule>
  </conditionalFormatting>
  <conditionalFormatting sqref="E2208">
    <cfRule type="containsText" dxfId="360" priority="273" operator="containsText" text="Pesquisa de Preços">
      <formula>NOT(ISERROR(SEARCH("Pesquisa de Preços",E2208)))</formula>
    </cfRule>
  </conditionalFormatting>
  <conditionalFormatting sqref="E2210">
    <cfRule type="containsText" dxfId="359" priority="272" operator="containsText" text="Pesquisa de Preços">
      <formula>NOT(ISERROR(SEARCH("Pesquisa de Preços",E2210)))</formula>
    </cfRule>
  </conditionalFormatting>
  <conditionalFormatting sqref="E2087">
    <cfRule type="containsText" dxfId="358" priority="283" operator="containsText" text="Pesquisa de Preços">
      <formula>NOT(ISERROR(SEARCH("Pesquisa de Preços",E2087)))</formula>
    </cfRule>
  </conditionalFormatting>
  <conditionalFormatting sqref="E2013">
    <cfRule type="containsText" dxfId="357" priority="280" operator="containsText" text="Pesquisa de Preços">
      <formula>NOT(ISERROR(SEARCH("Pesquisa de Preços",E2013)))</formula>
    </cfRule>
  </conditionalFormatting>
  <conditionalFormatting sqref="E2011:E2012 E2014:E2015">
    <cfRule type="containsText" dxfId="356" priority="282" operator="containsText" text="Pesquisa de Preços">
      <formula>NOT(ISERROR(SEARCH("Pesquisa de Preços",E2011)))</formula>
    </cfRule>
  </conditionalFormatting>
  <conditionalFormatting sqref="E2010">
    <cfRule type="containsText" dxfId="355" priority="281" operator="containsText" text="Pesquisa de Preços">
      <formula>NOT(ISERROR(SEARCH("Pesquisa de Preços",E2010)))</formula>
    </cfRule>
  </conditionalFormatting>
  <conditionalFormatting sqref="E2105">
    <cfRule type="containsText" dxfId="354" priority="279" operator="containsText" text="Pesquisa de Preços">
      <formula>NOT(ISERROR(SEARCH("Pesquisa de Preços",E2105)))</formula>
    </cfRule>
  </conditionalFormatting>
  <conditionalFormatting sqref="E2104">
    <cfRule type="containsText" dxfId="353" priority="278" operator="containsText" text="Pesquisa de Preços">
      <formula>NOT(ISERROR(SEARCH("Pesquisa de Preços",E2104)))</formula>
    </cfRule>
  </conditionalFormatting>
  <conditionalFormatting sqref="E2199:E2200">
    <cfRule type="containsText" dxfId="352" priority="277" operator="containsText" text="Pesquisa de Preços">
      <formula>NOT(ISERROR(SEARCH("Pesquisa de Preços",E2199)))</formula>
    </cfRule>
  </conditionalFormatting>
  <conditionalFormatting sqref="E2198">
    <cfRule type="containsText" dxfId="351" priority="276" operator="containsText" text="Pesquisa de Preços">
      <formula>NOT(ISERROR(SEARCH("Pesquisa de Preços",E2198)))</formula>
    </cfRule>
  </conditionalFormatting>
  <conditionalFormatting sqref="E2204:E2205 E2207">
    <cfRule type="containsText" dxfId="350" priority="275" operator="containsText" text="Pesquisa de Preços">
      <formula>NOT(ISERROR(SEARCH("Pesquisa de Preços",E2204)))</formula>
    </cfRule>
  </conditionalFormatting>
  <conditionalFormatting sqref="E2223 E2226:E2227">
    <cfRule type="containsText" dxfId="349" priority="271" operator="containsText" text="Pesquisa de Preços">
      <formula>NOT(ISERROR(SEARCH("Pesquisa de Preços",E2223)))</formula>
    </cfRule>
  </conditionalFormatting>
  <conditionalFormatting sqref="E2217 E2220:E2221">
    <cfRule type="containsText" dxfId="348" priority="269" operator="containsText" text="Pesquisa de Preços">
      <formula>NOT(ISERROR(SEARCH("Pesquisa de Preços",E2217)))</formula>
    </cfRule>
  </conditionalFormatting>
  <conditionalFormatting sqref="E2277">
    <cfRule type="containsText" dxfId="347" priority="264" operator="containsText" text="Pesquisa de Preços">
      <formula>NOT(ISERROR(SEARCH("Pesquisa de Preços",E2277)))</formula>
    </cfRule>
  </conditionalFormatting>
  <conditionalFormatting sqref="E2242">
    <cfRule type="containsText" dxfId="346" priority="265" operator="containsText" text="Pesquisa de Preços">
      <formula>NOT(ISERROR(SEARCH("Pesquisa de Preços",E2242)))</formula>
    </cfRule>
  </conditionalFormatting>
  <conditionalFormatting sqref="E2268">
    <cfRule type="containsText" dxfId="345" priority="261" operator="containsText" text="Pesquisa de Preços">
      <formula>NOT(ISERROR(SEARCH("Pesquisa de Preços",E2268)))</formula>
    </cfRule>
  </conditionalFormatting>
  <conditionalFormatting sqref="E2269 E2271:E2272">
    <cfRule type="containsText" dxfId="344" priority="262" operator="containsText" text="Pesquisa de Preços">
      <formula>NOT(ISERROR(SEARCH("Pesquisa de Preços",E2269)))</formula>
    </cfRule>
  </conditionalFormatting>
  <conditionalFormatting sqref="E2261 E2267">
    <cfRule type="containsText" dxfId="343" priority="259" operator="containsText" text="Pesquisa de Preços">
      <formula>NOT(ISERROR(SEARCH("Pesquisa de Preços",E2261)))</formula>
    </cfRule>
  </conditionalFormatting>
  <conditionalFormatting sqref="E2228">
    <cfRule type="containsText" dxfId="342" priority="256" operator="containsText" text="Pesquisa de Preços">
      <formula>NOT(ISERROR(SEARCH("Pesquisa de Preços",E2228)))</formula>
    </cfRule>
  </conditionalFormatting>
  <conditionalFormatting sqref="E2229:E2230 E2236:E2237">
    <cfRule type="containsText" dxfId="341" priority="257" operator="containsText" text="Pesquisa de Preços">
      <formula>NOT(ISERROR(SEARCH("Pesquisa de Preços",E2229)))</formula>
    </cfRule>
  </conditionalFormatting>
  <conditionalFormatting sqref="E2294:E2295">
    <cfRule type="containsText" dxfId="340" priority="254" operator="containsText" text="Pesquisa de Preços">
      <formula>NOT(ISERROR(SEARCH("Pesquisa de Preços",E2294)))</formula>
    </cfRule>
  </conditionalFormatting>
  <conditionalFormatting sqref="E2293">
    <cfRule type="containsText" dxfId="339" priority="253" operator="containsText" text="Pesquisa de Preços">
      <formula>NOT(ISERROR(SEARCH("Pesquisa de Preços",E2293)))</formula>
    </cfRule>
  </conditionalFormatting>
  <conditionalFormatting sqref="E2298">
    <cfRule type="containsText" dxfId="338" priority="252" operator="containsText" text="Pesquisa de Preços">
      <formula>NOT(ISERROR(SEARCH("Pesquisa de Preços",E2298)))</formula>
    </cfRule>
  </conditionalFormatting>
  <conditionalFormatting sqref="E2292">
    <cfRule type="containsText" dxfId="337" priority="251" operator="containsText" text="Pesquisa de Preços">
      <formula>NOT(ISERROR(SEARCH("Pesquisa de Preços",E2292)))</formula>
    </cfRule>
  </conditionalFormatting>
  <conditionalFormatting sqref="E2325">
    <cfRule type="containsText" dxfId="336" priority="250" operator="containsText" text="Pesquisa de Preços">
      <formula>NOT(ISERROR(SEARCH("Pesquisa de Preços",E2325)))</formula>
    </cfRule>
  </conditionalFormatting>
  <conditionalFormatting sqref="E2324">
    <cfRule type="containsText" dxfId="335" priority="249" operator="containsText" text="Pesquisa de Preços">
      <formula>NOT(ISERROR(SEARCH("Pesquisa de Preços",E2324)))</formula>
    </cfRule>
  </conditionalFormatting>
  <conditionalFormatting sqref="E2312">
    <cfRule type="containsText" dxfId="334" priority="247" operator="containsText" text="Pesquisa de Preços">
      <formula>NOT(ISERROR(SEARCH("Pesquisa de Preços",E2312)))</formula>
    </cfRule>
  </conditionalFormatting>
  <conditionalFormatting sqref="E2307:E2308 E2311">
    <cfRule type="containsText" dxfId="333" priority="246" operator="containsText" text="Pesquisa de Preços">
      <formula>NOT(ISERROR(SEARCH("Pesquisa de Preços",E2307)))</formula>
    </cfRule>
  </conditionalFormatting>
  <conditionalFormatting sqref="E2319:E2320 E2322:E2323">
    <cfRule type="containsText" dxfId="332" priority="244" operator="containsText" text="Pesquisa de Preços">
      <formula>NOT(ISERROR(SEARCH("Pesquisa de Preços",E2319)))</formula>
    </cfRule>
  </conditionalFormatting>
  <conditionalFormatting sqref="E2321">
    <cfRule type="containsText" dxfId="331" priority="242" operator="containsText" text="Pesquisa de Preços">
      <formula>NOT(ISERROR(SEARCH("Pesquisa de Preços",E2321)))</formula>
    </cfRule>
  </conditionalFormatting>
  <conditionalFormatting sqref="E2301 E2304:E2305">
    <cfRule type="containsText" dxfId="330" priority="241" operator="containsText" text="Pesquisa de Preços">
      <formula>NOT(ISERROR(SEARCH("Pesquisa de Preços",E2301)))</formula>
    </cfRule>
  </conditionalFormatting>
  <conditionalFormatting sqref="E2300">
    <cfRule type="containsText" dxfId="329" priority="240" operator="containsText" text="Pesquisa de Preços">
      <formula>NOT(ISERROR(SEARCH("Pesquisa de Preços",E2300)))</formula>
    </cfRule>
  </conditionalFormatting>
  <conditionalFormatting sqref="E2303">
    <cfRule type="containsText" dxfId="328" priority="239" operator="containsText" text="Pesquisa de Preços">
      <formula>NOT(ISERROR(SEARCH("Pesquisa de Preços",E2303)))</formula>
    </cfRule>
  </conditionalFormatting>
  <conditionalFormatting sqref="E2330:E2333">
    <cfRule type="containsText" dxfId="327" priority="238" operator="containsText" text="Pesquisa de Preços">
      <formula>NOT(ISERROR(SEARCH("Pesquisa de Preços",E2330)))</formula>
    </cfRule>
  </conditionalFormatting>
  <conditionalFormatting sqref="E2335 E2337:E2338">
    <cfRule type="containsText" dxfId="326" priority="236" operator="containsText" text="Pesquisa de Preços">
      <formula>NOT(ISERROR(SEARCH("Pesquisa de Preços",E2335)))</formula>
    </cfRule>
  </conditionalFormatting>
  <conditionalFormatting sqref="E889:E890 E892:E894">
    <cfRule type="containsText" dxfId="325" priority="234" operator="containsText" text="Pesquisa de Preços">
      <formula>NOT(ISERROR(SEARCH("Pesquisa de Preços",E889)))</formula>
    </cfRule>
  </conditionalFormatting>
  <conditionalFormatting sqref="E849:E850 E853:E854">
    <cfRule type="containsText" dxfId="324" priority="226" operator="containsText" text="Pesquisa de Preços">
      <formula>NOT(ISERROR(SEARCH("Pesquisa de Preços",E849)))</formula>
    </cfRule>
  </conditionalFormatting>
  <conditionalFormatting sqref="E870:E871 E874:E875">
    <cfRule type="containsText" dxfId="323" priority="232" operator="containsText" text="Pesquisa de Preços">
      <formula>NOT(ISERROR(SEARCH("Pesquisa de Preços",E870)))</formula>
    </cfRule>
  </conditionalFormatting>
  <conditionalFormatting sqref="E872:E873">
    <cfRule type="containsText" dxfId="322" priority="230" operator="containsText" text="Pesquisa de Preços">
      <formula>NOT(ISERROR(SEARCH("Pesquisa de Preços",E872)))</formula>
    </cfRule>
  </conditionalFormatting>
  <conditionalFormatting sqref="E877:E878 E881:E882">
    <cfRule type="containsText" dxfId="321" priority="229" operator="containsText" text="Pesquisa de Preços">
      <formula>NOT(ISERROR(SEARCH("Pesquisa de Preços",E877)))</formula>
    </cfRule>
  </conditionalFormatting>
  <conditionalFormatting sqref="E879:E880">
    <cfRule type="containsText" dxfId="320" priority="227" operator="containsText" text="Pesquisa de Preços">
      <formula>NOT(ISERROR(SEARCH("Pesquisa de Preços",E879)))</formula>
    </cfRule>
  </conditionalFormatting>
  <conditionalFormatting sqref="E851:E852">
    <cfRule type="containsText" dxfId="319" priority="224" operator="containsText" text="Pesquisa de Preços">
      <formula>NOT(ISERROR(SEARCH("Pesquisa de Preços",E851)))</formula>
    </cfRule>
  </conditionalFormatting>
  <conditionalFormatting sqref="E838:E841">
    <cfRule type="containsText" dxfId="318" priority="223" operator="containsText" text="Pesquisa de Preços">
      <formula>NOT(ISERROR(SEARCH("Pesquisa de Preços",E838)))</formula>
    </cfRule>
  </conditionalFormatting>
  <conditionalFormatting sqref="E837">
    <cfRule type="containsText" dxfId="317" priority="222" operator="containsText" text="Pesquisa de Preços">
      <formula>NOT(ISERROR(SEARCH("Pesquisa de Preços",E837)))</formula>
    </cfRule>
  </conditionalFormatting>
  <conditionalFormatting sqref="E843 E846:E847">
    <cfRule type="containsText" dxfId="316" priority="221" operator="containsText" text="Pesquisa de Preços">
      <formula>NOT(ISERROR(SEARCH("Pesquisa de Preços",E843)))</formula>
    </cfRule>
  </conditionalFormatting>
  <conditionalFormatting sqref="E842">
    <cfRule type="containsText" dxfId="315" priority="220" operator="containsText" text="Pesquisa de Preços">
      <formula>NOT(ISERROR(SEARCH("Pesquisa de Preços",E842)))</formula>
    </cfRule>
  </conditionalFormatting>
  <conditionalFormatting sqref="E862">
    <cfRule type="containsText" dxfId="314" priority="219" operator="containsText" text="Pesquisa de Preços">
      <formula>NOT(ISERROR(SEARCH("Pesquisa de Preços",E862)))</formula>
    </cfRule>
  </conditionalFormatting>
  <conditionalFormatting sqref="E861">
    <cfRule type="containsText" dxfId="313" priority="218" operator="containsText" text="Pesquisa de Preços">
      <formula>NOT(ISERROR(SEARCH("Pesquisa de Preços",E861)))</formula>
    </cfRule>
  </conditionalFormatting>
  <conditionalFormatting sqref="E856">
    <cfRule type="containsText" dxfId="312" priority="217" operator="containsText" text="Pesquisa de Preços">
      <formula>NOT(ISERROR(SEARCH("Pesquisa de Preços",E856)))</formula>
    </cfRule>
  </conditionalFormatting>
  <conditionalFormatting sqref="E855">
    <cfRule type="containsText" dxfId="311" priority="216" operator="containsText" text="Pesquisa de Preços">
      <formula>NOT(ISERROR(SEARCH("Pesquisa de Preços",E855)))</formula>
    </cfRule>
  </conditionalFormatting>
  <conditionalFormatting sqref="E884:E885">
    <cfRule type="containsText" dxfId="310" priority="215" operator="containsText" text="Pesquisa de Preços">
      <formula>NOT(ISERROR(SEARCH("Pesquisa de Preços",E884)))</formula>
    </cfRule>
  </conditionalFormatting>
  <conditionalFormatting sqref="E883">
    <cfRule type="containsText" dxfId="309" priority="214" operator="containsText" text="Pesquisa de Preços">
      <formula>NOT(ISERROR(SEARCH("Pesquisa de Preços",E883)))</formula>
    </cfRule>
  </conditionalFormatting>
  <conditionalFormatting sqref="E896:E897">
    <cfRule type="containsText" dxfId="308" priority="213" operator="containsText" text="Pesquisa de Preços">
      <formula>NOT(ISERROR(SEARCH("Pesquisa de Preços",E896)))</formula>
    </cfRule>
  </conditionalFormatting>
  <conditionalFormatting sqref="E895">
    <cfRule type="containsText" dxfId="307" priority="212" operator="containsText" text="Pesquisa de Preços">
      <formula>NOT(ISERROR(SEARCH("Pesquisa de Preços",E895)))</formula>
    </cfRule>
  </conditionalFormatting>
  <conditionalFormatting sqref="E2346:E2347">
    <cfRule type="containsText" dxfId="306" priority="211" operator="containsText" text="Pesquisa de Preços">
      <formula>NOT(ISERROR(SEARCH("Pesquisa de Preços",E2346)))</formula>
    </cfRule>
  </conditionalFormatting>
  <conditionalFormatting sqref="E2345">
    <cfRule type="containsText" dxfId="305" priority="210" operator="containsText" text="Pesquisa de Preços">
      <formula>NOT(ISERROR(SEARCH("Pesquisa de Preços",E2345)))</formula>
    </cfRule>
  </conditionalFormatting>
  <conditionalFormatting sqref="E2354 E2357 E2359">
    <cfRule type="containsText" dxfId="304" priority="209" operator="containsText" text="Pesquisa de Preços">
      <formula>NOT(ISERROR(SEARCH("Pesquisa de Preços",E2354)))</formula>
    </cfRule>
  </conditionalFormatting>
  <conditionalFormatting sqref="E2353">
    <cfRule type="containsText" dxfId="303" priority="208" operator="containsText" text="Pesquisa de Preços">
      <formula>NOT(ISERROR(SEARCH("Pesquisa de Preços",E2353)))</formula>
    </cfRule>
  </conditionalFormatting>
  <conditionalFormatting sqref="E2340:E2341 E2343:E2344">
    <cfRule type="containsText" dxfId="302" priority="207" operator="containsText" text="Pesquisa de Preços">
      <formula>NOT(ISERROR(SEARCH("Pesquisa de Preços",E2340)))</formula>
    </cfRule>
  </conditionalFormatting>
  <conditionalFormatting sqref="E2367 E2372">
    <cfRule type="containsText" dxfId="301" priority="204" operator="containsText" text="Pesquisa de Preços">
      <formula>NOT(ISERROR(SEARCH("Pesquisa de Preços",E2367)))</formula>
    </cfRule>
  </conditionalFormatting>
  <conditionalFormatting sqref="E2342">
    <cfRule type="containsText" dxfId="300" priority="205" operator="containsText" text="Pesquisa de Preços">
      <formula>NOT(ISERROR(SEARCH("Pesquisa de Preços",E2342)))</formula>
    </cfRule>
  </conditionalFormatting>
  <conditionalFormatting sqref="E2361">
    <cfRule type="containsText" dxfId="299" priority="202" operator="containsText" text="Pesquisa de Preços">
      <formula>NOT(ISERROR(SEARCH("Pesquisa de Preços",E2361)))</formula>
    </cfRule>
  </conditionalFormatting>
  <conditionalFormatting sqref="E1763:E1764 E1767:E1768">
    <cfRule type="containsText" dxfId="298" priority="200" operator="containsText" text="Pesquisa de Preços">
      <formula>NOT(ISERROR(SEARCH("Pesquisa de Preços",E1763)))</formula>
    </cfRule>
  </conditionalFormatting>
  <conditionalFormatting sqref="E1762">
    <cfRule type="containsText" dxfId="297" priority="199" operator="containsText" text="Pesquisa de Preços">
      <formula>NOT(ISERROR(SEARCH("Pesquisa de Preços",E1762)))</formula>
    </cfRule>
  </conditionalFormatting>
  <conditionalFormatting sqref="E1735">
    <cfRule type="containsText" dxfId="296" priority="126" operator="containsText" text="Pesquisa de Preços">
      <formula>NOT(ISERROR(SEARCH("Pesquisa de Preços",E1735)))</formula>
    </cfRule>
  </conditionalFormatting>
  <conditionalFormatting sqref="E1765:E1766">
    <cfRule type="containsText" dxfId="295" priority="198" operator="containsText" text="Pesquisa de Preços">
      <formula>NOT(ISERROR(SEARCH("Pesquisa de Preços",E1765)))</formula>
    </cfRule>
  </conditionalFormatting>
  <conditionalFormatting sqref="E1777:E1778 E1781:E1782">
    <cfRule type="containsText" dxfId="294" priority="197" operator="containsText" text="Pesquisa de Preços">
      <formula>NOT(ISERROR(SEARCH("Pesquisa de Preços",E1777)))</formula>
    </cfRule>
  </conditionalFormatting>
  <conditionalFormatting sqref="E1776">
    <cfRule type="containsText" dxfId="293" priority="196" operator="containsText" text="Pesquisa de Preços">
      <formula>NOT(ISERROR(SEARCH("Pesquisa de Preços",E1776)))</formula>
    </cfRule>
  </conditionalFormatting>
  <conditionalFormatting sqref="E1779:E1780">
    <cfRule type="containsText" dxfId="292" priority="195" operator="containsText" text="Pesquisa de Preços">
      <formula>NOT(ISERROR(SEARCH("Pesquisa de Preços",E1779)))</formula>
    </cfRule>
  </conditionalFormatting>
  <conditionalFormatting sqref="E1791:E1792 E1795:E1796">
    <cfRule type="containsText" dxfId="291" priority="194" operator="containsText" text="Pesquisa de Preços">
      <formula>NOT(ISERROR(SEARCH("Pesquisa de Preços",E1791)))</formula>
    </cfRule>
  </conditionalFormatting>
  <conditionalFormatting sqref="E1790">
    <cfRule type="containsText" dxfId="290" priority="193" operator="containsText" text="Pesquisa de Preços">
      <formula>NOT(ISERROR(SEARCH("Pesquisa de Preços",E1790)))</formula>
    </cfRule>
  </conditionalFormatting>
  <conditionalFormatting sqref="E1793:E1794">
    <cfRule type="containsText" dxfId="289" priority="192" operator="containsText" text="Pesquisa de Preços">
      <formula>NOT(ISERROR(SEARCH("Pesquisa de Preços",E1793)))</formula>
    </cfRule>
  </conditionalFormatting>
  <conditionalFormatting sqref="E1749:E1750 E1753:E1754">
    <cfRule type="containsText" dxfId="288" priority="191" operator="containsText" text="Pesquisa de Preços">
      <formula>NOT(ISERROR(SEARCH("Pesquisa de Preços",E1749)))</formula>
    </cfRule>
  </conditionalFormatting>
  <conditionalFormatting sqref="E1748">
    <cfRule type="containsText" dxfId="287" priority="190" operator="containsText" text="Pesquisa de Preços">
      <formula>NOT(ISERROR(SEARCH("Pesquisa de Preços",E1748)))</formula>
    </cfRule>
  </conditionalFormatting>
  <conditionalFormatting sqref="E1751:E1752">
    <cfRule type="containsText" dxfId="286" priority="189" operator="containsText" text="Pesquisa de Preços">
      <formula>NOT(ISERROR(SEARCH("Pesquisa de Preços",E1751)))</formula>
    </cfRule>
  </conditionalFormatting>
  <conditionalFormatting sqref="E1756:E1757 E1760:E1761">
    <cfRule type="containsText" dxfId="285" priority="188" operator="containsText" text="Pesquisa de Preços">
      <formula>NOT(ISERROR(SEARCH("Pesquisa de Preços",E1756)))</formula>
    </cfRule>
  </conditionalFormatting>
  <conditionalFormatting sqref="E1755">
    <cfRule type="containsText" dxfId="284" priority="187" operator="containsText" text="Pesquisa de Preços">
      <formula>NOT(ISERROR(SEARCH("Pesquisa de Preços",E1755)))</formula>
    </cfRule>
  </conditionalFormatting>
  <conditionalFormatting sqref="E590 E594">
    <cfRule type="containsText" dxfId="283" priority="125" operator="containsText" text="Pesquisa de Preços">
      <formula>NOT(ISERROR(SEARCH("Pesquisa de Preços",E590)))</formula>
    </cfRule>
  </conditionalFormatting>
  <conditionalFormatting sqref="E1758:E1759">
    <cfRule type="containsText" dxfId="282" priority="186" operator="containsText" text="Pesquisa de Preços">
      <formula>NOT(ISERROR(SEARCH("Pesquisa de Preços",E1758)))</formula>
    </cfRule>
  </conditionalFormatting>
  <conditionalFormatting sqref="E1770 E1775">
    <cfRule type="containsText" dxfId="281" priority="185" operator="containsText" text="Pesquisa de Preços">
      <formula>NOT(ISERROR(SEARCH("Pesquisa de Preços",E1770)))</formula>
    </cfRule>
  </conditionalFormatting>
  <conditionalFormatting sqref="E1769">
    <cfRule type="containsText" dxfId="280" priority="184" operator="containsText" text="Pesquisa de Preços">
      <formula>NOT(ISERROR(SEARCH("Pesquisa de Preços",E1769)))</formula>
    </cfRule>
  </conditionalFormatting>
  <conditionalFormatting sqref="E380">
    <cfRule type="containsText" dxfId="279" priority="122" operator="containsText" text="Pesquisa de Preços">
      <formula>NOT(ISERROR(SEARCH("Pesquisa de Preços",E380)))</formula>
    </cfRule>
  </conditionalFormatting>
  <conditionalFormatting sqref="E1789">
    <cfRule type="containsText" dxfId="278" priority="183" operator="containsText" text="Pesquisa de Preços">
      <formula>NOT(ISERROR(SEARCH("Pesquisa de Preços",E1789)))</formula>
    </cfRule>
  </conditionalFormatting>
  <conditionalFormatting sqref="E1166">
    <cfRule type="containsText" dxfId="277" priority="182" operator="containsText" text="Pesquisa de Preços">
      <formula>NOT(ISERROR(SEARCH("Pesquisa de Preços",E1166)))</formula>
    </cfRule>
  </conditionalFormatting>
  <conditionalFormatting sqref="E1167:E1168">
    <cfRule type="containsText" dxfId="276" priority="181" operator="containsText" text="Pesquisa de Preços">
      <formula>NOT(ISERROR(SEARCH("Pesquisa de Preços",E1167)))</formula>
    </cfRule>
  </conditionalFormatting>
  <conditionalFormatting sqref="E1972">
    <cfRule type="containsText" dxfId="275" priority="180" operator="containsText" text="Pesquisa de Preços">
      <formula>NOT(ISERROR(SEARCH("Pesquisa de Preços",E1972)))</formula>
    </cfRule>
  </conditionalFormatting>
  <conditionalFormatting sqref="E1969:E1970">
    <cfRule type="containsText" dxfId="274" priority="179" operator="containsText" text="Pesquisa de Preços">
      <formula>NOT(ISERROR(SEARCH("Pesquisa de Preços",E1969)))</formula>
    </cfRule>
  </conditionalFormatting>
  <conditionalFormatting sqref="E2005 E2008">
    <cfRule type="containsText" dxfId="273" priority="178" operator="containsText" text="Pesquisa de Preços">
      <formula>NOT(ISERROR(SEARCH("Pesquisa de Preços",E2005)))</formula>
    </cfRule>
  </conditionalFormatting>
  <conditionalFormatting sqref="E2006:E2007">
    <cfRule type="containsText" dxfId="272" priority="177" operator="containsText" text="Pesquisa de Preços">
      <formula>NOT(ISERROR(SEARCH("Pesquisa de Preços",E2006)))</formula>
    </cfRule>
  </conditionalFormatting>
  <conditionalFormatting sqref="E1984 E1987">
    <cfRule type="containsText" dxfId="271" priority="176" operator="containsText" text="Pesquisa de Preços">
      <formula>NOT(ISERROR(SEARCH("Pesquisa de Preços",E1984)))</formula>
    </cfRule>
  </conditionalFormatting>
  <conditionalFormatting sqref="E1985:E1986">
    <cfRule type="containsText" dxfId="270" priority="175" operator="containsText" text="Pesquisa de Preços">
      <formula>NOT(ISERROR(SEARCH("Pesquisa de Preços",E1985)))</formula>
    </cfRule>
  </conditionalFormatting>
  <conditionalFormatting sqref="E2085:E2086">
    <cfRule type="containsText" dxfId="269" priority="174" operator="containsText" text="Pesquisa de Preços">
      <formula>NOT(ISERROR(SEARCH("Pesquisa de Preços",E2085)))</formula>
    </cfRule>
  </conditionalFormatting>
  <conditionalFormatting sqref="E2021:E2022">
    <cfRule type="containsText" dxfId="268" priority="173" operator="containsText" text="Pesquisa de Preços">
      <formula>NOT(ISERROR(SEARCH("Pesquisa de Preços",E2021)))</formula>
    </cfRule>
  </conditionalFormatting>
  <conditionalFormatting sqref="E821">
    <cfRule type="containsText" dxfId="267" priority="105" operator="containsText" text="Pesquisa de Preços">
      <formula>NOT(ISERROR(SEARCH("Pesquisa de Preços",E821)))</formula>
    </cfRule>
  </conditionalFormatting>
  <conditionalFormatting sqref="E822">
    <cfRule type="containsText" dxfId="266" priority="104" operator="containsText" text="Pesquisa de Preços">
      <formula>NOT(ISERROR(SEARCH("Pesquisa de Preços",E822)))</formula>
    </cfRule>
  </conditionalFormatting>
  <conditionalFormatting sqref="E1152:E1153">
    <cfRule type="containsText" dxfId="265" priority="100" operator="containsText" text="Pesquisa de Preços">
      <formula>NOT(ISERROR(SEARCH("Pesquisa de Preços",E1152)))</formula>
    </cfRule>
  </conditionalFormatting>
  <conditionalFormatting sqref="E1154">
    <cfRule type="containsText" dxfId="264" priority="101" operator="containsText" text="Pesquisa de Preços">
      <formula>NOT(ISERROR(SEARCH("Pesquisa de Preços",E1154)))</formula>
    </cfRule>
  </conditionalFormatting>
  <conditionalFormatting sqref="E94:E95">
    <cfRule type="containsText" dxfId="263" priority="99" operator="containsText" text="Pesquisa de Preços">
      <formula>NOT(ISERROR(SEARCH("Pesquisa de Preços",E94)))</formula>
    </cfRule>
  </conditionalFormatting>
  <conditionalFormatting sqref="E206">
    <cfRule type="containsText" dxfId="262" priority="97" operator="containsText" text="Pesquisa de Preços">
      <formula>NOT(ISERROR(SEARCH("Pesquisa de Preços",E206)))</formula>
    </cfRule>
  </conditionalFormatting>
  <conditionalFormatting sqref="E1628">
    <cfRule type="containsText" dxfId="261" priority="95" operator="containsText" text="Pesquisa de Preços">
      <formula>NOT(ISERROR(SEARCH("Pesquisa de Preços",E1628)))</formula>
    </cfRule>
  </conditionalFormatting>
  <conditionalFormatting sqref="E1604">
    <cfRule type="containsText" dxfId="260" priority="93" operator="containsText" text="Pesquisa de Preços">
      <formula>NOT(ISERROR(SEARCH("Pesquisa de Preços",E1604)))</formula>
    </cfRule>
  </conditionalFormatting>
  <conditionalFormatting sqref="E1680">
    <cfRule type="containsText" dxfId="259" priority="92" operator="containsText" text="Pesquisa de Preços">
      <formula>NOT(ISERROR(SEARCH("Pesquisa de Preços",E1680)))</formula>
    </cfRule>
  </conditionalFormatting>
  <conditionalFormatting sqref="E54">
    <cfRule type="containsText" dxfId="258" priority="155" operator="containsText" text="Pesquisa de Preços">
      <formula>NOT(ISERROR(SEARCH("Pesquisa de Preços",E54)))</formula>
    </cfRule>
  </conditionalFormatting>
  <conditionalFormatting sqref="E205">
    <cfRule type="containsText" dxfId="257" priority="172" operator="containsText" text="Pesquisa de Preços">
      <formula>NOT(ISERROR(SEARCH("Pesquisa de Preços",E205)))</formula>
    </cfRule>
  </conditionalFormatting>
  <conditionalFormatting sqref="E204">
    <cfRule type="containsText" dxfId="256" priority="171" operator="containsText" text="Pesquisa de Preços">
      <formula>NOT(ISERROR(SEARCH("Pesquisa de Preços",E204)))</formula>
    </cfRule>
  </conditionalFormatting>
  <conditionalFormatting sqref="E103:E104">
    <cfRule type="containsText" dxfId="255" priority="170" operator="containsText" text="Pesquisa de Preços">
      <formula>NOT(ISERROR(SEARCH("Pesquisa de Preços",E103)))</formula>
    </cfRule>
  </conditionalFormatting>
  <conditionalFormatting sqref="E102">
    <cfRule type="containsText" dxfId="254" priority="169" operator="containsText" text="Pesquisa de Preços">
      <formula>NOT(ISERROR(SEARCH("Pesquisa de Preços",E102)))</formula>
    </cfRule>
  </conditionalFormatting>
  <conditionalFormatting sqref="E423:E424">
    <cfRule type="containsText" dxfId="253" priority="168" operator="containsText" text="Pesquisa de Preços">
      <formula>NOT(ISERROR(SEARCH("Pesquisa de Preços",E423)))</formula>
    </cfRule>
  </conditionalFormatting>
  <conditionalFormatting sqref="E422">
    <cfRule type="containsText" dxfId="252" priority="167" operator="containsText" text="Pesquisa de Preços">
      <formula>NOT(ISERROR(SEARCH("Pesquisa de Preços",E422)))</formula>
    </cfRule>
  </conditionalFormatting>
  <conditionalFormatting sqref="E425:E427">
    <cfRule type="containsText" dxfId="251" priority="166" operator="containsText" text="Pesquisa de Preços">
      <formula>NOT(ISERROR(SEARCH("Pesquisa de Preços",E425)))</formula>
    </cfRule>
  </conditionalFormatting>
  <conditionalFormatting sqref="E616:E617 E619:E620">
    <cfRule type="containsText" dxfId="250" priority="165" operator="containsText" text="Pesquisa de Preços">
      <formula>NOT(ISERROR(SEARCH("Pesquisa de Preços",E616)))</formula>
    </cfRule>
  </conditionalFormatting>
  <conditionalFormatting sqref="E615">
    <cfRule type="containsText" dxfId="249" priority="164" operator="containsText" text="Pesquisa de Preços">
      <formula>NOT(ISERROR(SEARCH("Pesquisa de Preços",E615)))</formula>
    </cfRule>
  </conditionalFormatting>
  <conditionalFormatting sqref="E589 E595">
    <cfRule type="containsText" dxfId="248" priority="163" operator="containsText" text="Pesquisa de Preços">
      <formula>NOT(ISERROR(SEARCH("Pesquisa de Preços",E589)))</formula>
    </cfRule>
  </conditionalFormatting>
  <conditionalFormatting sqref="E588">
    <cfRule type="containsText" dxfId="247" priority="162" operator="containsText" text="Pesquisa de Preços">
      <formula>NOT(ISERROR(SEARCH("Pesquisa de Preços",E588)))</formula>
    </cfRule>
  </conditionalFormatting>
  <conditionalFormatting sqref="E638:E639 E642:E643">
    <cfRule type="containsText" dxfId="246" priority="161" operator="containsText" text="Pesquisa de Preços">
      <formula>NOT(ISERROR(SEARCH("Pesquisa de Preços",E638)))</formula>
    </cfRule>
  </conditionalFormatting>
  <conditionalFormatting sqref="E637">
    <cfRule type="containsText" dxfId="245" priority="160" operator="containsText" text="Pesquisa de Preços">
      <formula>NOT(ISERROR(SEARCH("Pesquisa de Preços",E637)))</formula>
    </cfRule>
  </conditionalFormatting>
  <conditionalFormatting sqref="E640:E641">
    <cfRule type="containsText" dxfId="244" priority="159" operator="containsText" text="Pesquisa de Preços">
      <formula>NOT(ISERROR(SEARCH("Pesquisa de Preços",E640)))</formula>
    </cfRule>
  </conditionalFormatting>
  <conditionalFormatting sqref="E1712">
    <cfRule type="containsText" dxfId="243" priority="80" operator="containsText" text="Pesquisa de Preços">
      <formula>NOT(ISERROR(SEARCH("Pesquisa de Preços",E1712)))</formula>
    </cfRule>
  </conditionalFormatting>
  <conditionalFormatting sqref="E225">
    <cfRule type="containsText" dxfId="242" priority="158" operator="containsText" text="Pesquisa de Preços">
      <formula>NOT(ISERROR(SEARCH("Pesquisa de Preços",E225)))</formula>
    </cfRule>
  </conditionalFormatting>
  <conditionalFormatting sqref="E150:E151">
    <cfRule type="containsText" dxfId="241" priority="157" operator="containsText" text="Pesquisa de Preços">
      <formula>NOT(ISERROR(SEARCH("Pesquisa de Preços",E150)))</formula>
    </cfRule>
  </conditionalFormatting>
  <conditionalFormatting sqref="E162:E163">
    <cfRule type="containsText" dxfId="240" priority="156" operator="containsText" text="Pesquisa de Preços">
      <formula>NOT(ISERROR(SEARCH("Pesquisa de Preços",E162)))</formula>
    </cfRule>
  </conditionalFormatting>
  <conditionalFormatting sqref="E55:E57">
    <cfRule type="containsText" dxfId="239" priority="154" operator="containsText" text="Pesquisa de Preços">
      <formula>NOT(ISERROR(SEARCH("Pesquisa de Preços",E55)))</formula>
    </cfRule>
  </conditionalFormatting>
  <conditionalFormatting sqref="E30:E31">
    <cfRule type="containsText" dxfId="238" priority="153" operator="containsText" text="Pesquisa de Preços">
      <formula>NOT(ISERROR(SEARCH("Pesquisa de Preços",E30)))</formula>
    </cfRule>
  </conditionalFormatting>
  <conditionalFormatting sqref="E25:E26">
    <cfRule type="containsText" dxfId="237" priority="152" operator="containsText" text="Pesquisa de Preços">
      <formula>NOT(ISERROR(SEARCH("Pesquisa de Preços",E25)))</formula>
    </cfRule>
  </conditionalFormatting>
  <conditionalFormatting sqref="E180">
    <cfRule type="containsText" dxfId="236" priority="151" operator="containsText" text="Pesquisa de Preços">
      <formula>NOT(ISERROR(SEARCH("Pesquisa de Preços",E180)))</formula>
    </cfRule>
  </conditionalFormatting>
  <conditionalFormatting sqref="E127:E128">
    <cfRule type="containsText" dxfId="235" priority="150" operator="containsText" text="Pesquisa de Preços">
      <formula>NOT(ISERROR(SEARCH("Pesquisa de Preços",E127)))</formula>
    </cfRule>
  </conditionalFormatting>
  <conditionalFormatting sqref="E1912">
    <cfRule type="containsText" dxfId="234" priority="75" operator="containsText" text="Pesquisa de Preços">
      <formula>NOT(ISERROR(SEARCH("Pesquisa de Preços",E1912)))</formula>
    </cfRule>
  </conditionalFormatting>
  <conditionalFormatting sqref="E84">
    <cfRule type="containsText" dxfId="233" priority="149" operator="containsText" text="Pesquisa de Preços">
      <formula>NOT(ISERROR(SEARCH("Pesquisa de Preços",E84)))</formula>
    </cfRule>
  </conditionalFormatting>
  <conditionalFormatting sqref="E85">
    <cfRule type="containsText" dxfId="232" priority="148" operator="containsText" text="Pesquisa de Preços">
      <formula>NOT(ISERROR(SEARCH("Pesquisa de Preços",E85)))</formula>
    </cfRule>
  </conditionalFormatting>
  <conditionalFormatting sqref="E61">
    <cfRule type="containsText" dxfId="231" priority="147" operator="containsText" text="Pesquisa de Preços">
      <formula>NOT(ISERROR(SEARCH("Pesquisa de Preços",E61)))</formula>
    </cfRule>
  </conditionalFormatting>
  <conditionalFormatting sqref="E62">
    <cfRule type="containsText" dxfId="230" priority="146" operator="containsText" text="Pesquisa de Preços">
      <formula>NOT(ISERROR(SEARCH("Pesquisa de Preços",E62)))</formula>
    </cfRule>
  </conditionalFormatting>
  <conditionalFormatting sqref="E2326">
    <cfRule type="containsText" dxfId="229" priority="72" operator="containsText" text="Pesquisa de Preços">
      <formula>NOT(ISERROR(SEARCH("Pesquisa de Preços",E2326)))</formula>
    </cfRule>
  </conditionalFormatting>
  <conditionalFormatting sqref="E44:E45">
    <cfRule type="containsText" dxfId="228" priority="145" operator="containsText" text="Pesquisa de Preços">
      <formula>NOT(ISERROR(SEARCH("Pesquisa de Preços",E44)))</formula>
    </cfRule>
  </conditionalFormatting>
  <conditionalFormatting sqref="E311">
    <cfRule type="containsText" dxfId="227" priority="144" operator="containsText" text="Pesquisa de Preços">
      <formula>NOT(ISERROR(SEARCH("Pesquisa de Preços",E311)))</formula>
    </cfRule>
  </conditionalFormatting>
  <conditionalFormatting sqref="E297">
    <cfRule type="containsText" dxfId="226" priority="143" operator="containsText" text="Pesquisa de Preços">
      <formula>NOT(ISERROR(SEARCH("Pesquisa de Preços",E297)))</formula>
    </cfRule>
  </conditionalFormatting>
  <conditionalFormatting sqref="E457">
    <cfRule type="containsText" dxfId="225" priority="142" operator="containsText" text="Pesquisa de Preços">
      <formula>NOT(ISERROR(SEARCH("Pesquisa de Preços",E457)))</formula>
    </cfRule>
  </conditionalFormatting>
  <conditionalFormatting sqref="E500:E501">
    <cfRule type="containsText" dxfId="224" priority="139" operator="containsText" text="Pesquisa de Preços">
      <formula>NOT(ISERROR(SEARCH("Pesquisa de Preços",E500)))</formula>
    </cfRule>
  </conditionalFormatting>
  <conditionalFormatting sqref="E467">
    <cfRule type="containsText" dxfId="223" priority="141" operator="containsText" text="Pesquisa de Preços">
      <formula>NOT(ISERROR(SEARCH("Pesquisa de Preços",E467)))</formula>
    </cfRule>
  </conditionalFormatting>
  <conditionalFormatting sqref="E499 E502">
    <cfRule type="containsText" dxfId="222" priority="140" operator="containsText" text="Pesquisa de Preços">
      <formula>NOT(ISERROR(SEARCH("Pesquisa de Preços",E499)))</formula>
    </cfRule>
  </conditionalFormatting>
  <conditionalFormatting sqref="E623">
    <cfRule type="containsText" dxfId="221" priority="138" operator="containsText" text="Pesquisa de Preços">
      <formula>NOT(ISERROR(SEARCH("Pesquisa de Preços",E623)))</formula>
    </cfRule>
  </conditionalFormatting>
  <conditionalFormatting sqref="E624:E626">
    <cfRule type="containsText" dxfId="220" priority="137" operator="containsText" text="Pesquisa de Preços">
      <formula>NOT(ISERROR(SEARCH("Pesquisa de Preços",E624)))</formula>
    </cfRule>
  </conditionalFormatting>
  <conditionalFormatting sqref="E989">
    <cfRule type="containsText" dxfId="219" priority="136" operator="containsText" text="Pesquisa de Preços">
      <formula>NOT(ISERROR(SEARCH("Pesquisa de Preços",E989)))</formula>
    </cfRule>
  </conditionalFormatting>
  <conditionalFormatting sqref="E1188">
    <cfRule type="containsText" dxfId="218" priority="135" operator="containsText" text="Pesquisa de Preços">
      <formula>NOT(ISERROR(SEARCH("Pesquisa de Preços",E1188)))</formula>
    </cfRule>
  </conditionalFormatting>
  <conditionalFormatting sqref="E1195">
    <cfRule type="containsText" dxfId="217" priority="134" operator="containsText" text="Pesquisa de Preços">
      <formula>NOT(ISERROR(SEARCH("Pesquisa de Preços",E1195)))</formula>
    </cfRule>
  </conditionalFormatting>
  <conditionalFormatting sqref="E614">
    <cfRule type="containsText" dxfId="216" priority="120" operator="containsText" text="Pesquisa de Preços">
      <formula>NOT(ISERROR(SEARCH("Pesquisa de Preços",E614)))</formula>
    </cfRule>
  </conditionalFormatting>
  <conditionalFormatting sqref="E729">
    <cfRule type="containsText" dxfId="215" priority="119" operator="containsText" text="Pesquisa de Preços">
      <formula>NOT(ISERROR(SEARCH("Pesquisa de Preços",E729)))</formula>
    </cfRule>
  </conditionalFormatting>
  <conditionalFormatting sqref="E1490">
    <cfRule type="containsText" dxfId="214" priority="133" operator="containsText" text="Pesquisa de Preços">
      <formula>NOT(ISERROR(SEARCH("Pesquisa de Preços",E1490)))</formula>
    </cfRule>
  </conditionalFormatting>
  <conditionalFormatting sqref="E591:E593">
    <cfRule type="containsText" dxfId="213" priority="124" operator="containsText" text="Pesquisa de Preços">
      <formula>NOT(ISERROR(SEARCH("Pesquisa de Preços",E591)))</formula>
    </cfRule>
  </conditionalFormatting>
  <conditionalFormatting sqref="E1617:E1618">
    <cfRule type="containsText" dxfId="212" priority="129" operator="containsText" text="Pesquisa de Preços">
      <formula>NOT(ISERROR(SEARCH("Pesquisa de Preços",E1617)))</formula>
    </cfRule>
  </conditionalFormatting>
  <conditionalFormatting sqref="E1622">
    <cfRule type="containsText" dxfId="211" priority="132" operator="containsText" text="Pesquisa de Preços">
      <formula>NOT(ISERROR(SEARCH("Pesquisa de Preços",E1622)))</formula>
    </cfRule>
  </conditionalFormatting>
  <conditionalFormatting sqref="E1623:E1624">
    <cfRule type="containsText" dxfId="210" priority="131" operator="containsText" text="Pesquisa de Preços">
      <formula>NOT(ISERROR(SEARCH("Pesquisa de Preços",E1623)))</formula>
    </cfRule>
  </conditionalFormatting>
  <conditionalFormatting sqref="E1616">
    <cfRule type="containsText" dxfId="209" priority="130" operator="containsText" text="Pesquisa de Preços">
      <formula>NOT(ISERROR(SEARCH("Pesquisa de Preços",E1616)))</formula>
    </cfRule>
  </conditionalFormatting>
  <conditionalFormatting sqref="E1739">
    <cfRule type="containsText" dxfId="208" priority="128" operator="containsText" text="Pesquisa de Preços">
      <formula>NOT(ISERROR(SEARCH("Pesquisa de Preços",E1739)))</formula>
    </cfRule>
  </conditionalFormatting>
  <conditionalFormatting sqref="E1746">
    <cfRule type="containsText" dxfId="207" priority="127" operator="containsText" text="Pesquisa de Preços">
      <formula>NOT(ISERROR(SEARCH("Pesquisa de Preços",E1746)))</formula>
    </cfRule>
  </conditionalFormatting>
  <conditionalFormatting sqref="E381">
    <cfRule type="containsText" dxfId="206" priority="123" operator="containsText" text="Pesquisa de Preços">
      <formula>NOT(ISERROR(SEARCH("Pesquisa de Preços",E381)))</formula>
    </cfRule>
  </conditionalFormatting>
  <conditionalFormatting sqref="E1063:E1064">
    <cfRule type="containsText" dxfId="205" priority="45" operator="containsText" text="Pesquisa de Preços">
      <formula>NOT(ISERROR(SEARCH("Pesquisa de Preços",E1063)))</formula>
    </cfRule>
  </conditionalFormatting>
  <conditionalFormatting sqref="E605">
    <cfRule type="containsText" dxfId="204" priority="121" operator="containsText" text="Pesquisa de Preços">
      <formula>NOT(ISERROR(SEARCH("Pesquisa de Preços",E605)))</formula>
    </cfRule>
  </conditionalFormatting>
  <conditionalFormatting sqref="E1076:E1080">
    <cfRule type="containsText" dxfId="203" priority="44" operator="containsText" text="Pesquisa de Preços">
      <formula>NOT(ISERROR(SEARCH("Pesquisa de Preços",E1076)))</formula>
    </cfRule>
  </conditionalFormatting>
  <conditionalFormatting sqref="E728">
    <cfRule type="containsText" dxfId="202" priority="118" operator="containsText" text="Pesquisa de Preços">
      <formula>NOT(ISERROR(SEARCH("Pesquisa de Preços",E728)))</formula>
    </cfRule>
  </conditionalFormatting>
  <conditionalFormatting sqref="E631">
    <cfRule type="containsText" dxfId="201" priority="115" operator="containsText" text="Pesquisa de Preços">
      <formula>NOT(ISERROR(SEARCH("Pesquisa de Preços",E631)))</formula>
    </cfRule>
  </conditionalFormatting>
  <conditionalFormatting sqref="E630 E635:E636">
    <cfRule type="containsText" dxfId="200" priority="117" operator="containsText" text="Pesquisa de Preços">
      <formula>NOT(ISERROR(SEARCH("Pesquisa de Preços",E630)))</formula>
    </cfRule>
  </conditionalFormatting>
  <conditionalFormatting sqref="E629">
    <cfRule type="containsText" dxfId="199" priority="116" operator="containsText" text="Pesquisa de Preços">
      <formula>NOT(ISERROR(SEARCH("Pesquisa de Preços",E629)))</formula>
    </cfRule>
  </conditionalFormatting>
  <conditionalFormatting sqref="E1253:E1254 E1249:E1250">
    <cfRule type="containsText" dxfId="198" priority="113" operator="containsText" text="Pesquisa de Preços">
      <formula>NOT(ISERROR(SEARCH("Pesquisa de Preços",E1249)))</formula>
    </cfRule>
  </conditionalFormatting>
  <conditionalFormatting sqref="E632:E634">
    <cfRule type="containsText" dxfId="197" priority="114" operator="containsText" text="Pesquisa de Preços">
      <formula>NOT(ISERROR(SEARCH("Pesquisa de Preços",E632)))</formula>
    </cfRule>
  </conditionalFormatting>
  <conditionalFormatting sqref="E1248">
    <cfRule type="containsText" dxfId="196" priority="112" operator="containsText" text="Pesquisa de Preços">
      <formula>NOT(ISERROR(SEARCH("Pesquisa de Preços",E1248)))</formula>
    </cfRule>
  </conditionalFormatting>
  <conditionalFormatting sqref="E1251:E1252">
    <cfRule type="containsText" dxfId="195" priority="111" operator="containsText" text="Pesquisa de Preços">
      <formula>NOT(ISERROR(SEARCH("Pesquisa de Preços",E1251)))</formula>
    </cfRule>
  </conditionalFormatting>
  <conditionalFormatting sqref="E1151 E1155:E1156">
    <cfRule type="containsText" dxfId="194" priority="110" operator="containsText" text="Pesquisa de Preços">
      <formula>NOT(ISERROR(SEARCH("Pesquisa de Preços",E1151)))</formula>
    </cfRule>
  </conditionalFormatting>
  <conditionalFormatting sqref="E1150">
    <cfRule type="containsText" dxfId="193" priority="109" operator="containsText" text="Pesquisa de Preços">
      <formula>NOT(ISERROR(SEARCH("Pesquisa de Preços",E1150)))</formula>
    </cfRule>
  </conditionalFormatting>
  <conditionalFormatting sqref="E1211:E1212 E1207:E1208">
    <cfRule type="containsText" dxfId="192" priority="108" operator="containsText" text="Pesquisa de Preços">
      <formula>NOT(ISERROR(SEARCH("Pesquisa de Preços",E1207)))</formula>
    </cfRule>
  </conditionalFormatting>
  <conditionalFormatting sqref="E1206">
    <cfRule type="containsText" dxfId="191" priority="107" operator="containsText" text="Pesquisa de Preços">
      <formula>NOT(ISERROR(SEARCH("Pesquisa de Preços",E1206)))</formula>
    </cfRule>
  </conditionalFormatting>
  <conditionalFormatting sqref="E1209:E1210">
    <cfRule type="containsText" dxfId="190" priority="106" operator="containsText" text="Pesquisa de Preços">
      <formula>NOT(ISERROR(SEARCH("Pesquisa de Preços",E1209)))</formula>
    </cfRule>
  </conditionalFormatting>
  <conditionalFormatting sqref="E1342">
    <cfRule type="containsText" dxfId="189" priority="43" operator="containsText" text="Pesquisa de Preços">
      <formula>NOT(ISERROR(SEARCH("Pesquisa de Preços",E1342)))</formula>
    </cfRule>
  </conditionalFormatting>
  <conditionalFormatting sqref="E857 E859:E860">
    <cfRule type="containsText" dxfId="188" priority="103" operator="containsText" text="Pesquisa de Preços">
      <formula>NOT(ISERROR(SEARCH("Pesquisa de Preços",E857)))</formula>
    </cfRule>
  </conditionalFormatting>
  <conditionalFormatting sqref="E858">
    <cfRule type="containsText" dxfId="187" priority="102" operator="containsText" text="Pesquisa de Preços">
      <formula>NOT(ISERROR(SEARCH("Pesquisa de Preços",E858)))</formula>
    </cfRule>
  </conditionalFormatting>
  <conditionalFormatting sqref="E1502">
    <cfRule type="containsText" dxfId="186" priority="42" operator="containsText" text="Pesquisa de Preços">
      <formula>NOT(ISERROR(SEARCH("Pesquisa de Preços",E1502)))</formula>
    </cfRule>
  </conditionalFormatting>
  <conditionalFormatting sqref="E207">
    <cfRule type="containsText" dxfId="185" priority="98" operator="containsText" text="Pesquisa de Preços">
      <formula>NOT(ISERROR(SEARCH("Pesquisa de Preços",E207)))</formula>
    </cfRule>
  </conditionalFormatting>
  <conditionalFormatting sqref="E1611">
    <cfRule type="containsText" dxfId="184" priority="96" operator="containsText" text="Pesquisa de Preços">
      <formula>NOT(ISERROR(SEARCH("Pesquisa de Preços",E1611)))</formula>
    </cfRule>
  </conditionalFormatting>
  <conditionalFormatting sqref="E1678">
    <cfRule type="containsText" dxfId="183" priority="94" operator="containsText" text="Pesquisa de Preços">
      <formula>NOT(ISERROR(SEARCH("Pesquisa de Preços",E1678)))</formula>
    </cfRule>
  </conditionalFormatting>
  <conditionalFormatting sqref="E1606">
    <cfRule type="containsText" dxfId="182" priority="91" operator="containsText" text="Pesquisa de Preços">
      <formula>NOT(ISERROR(SEARCH("Pesquisa de Preços",E1606)))</formula>
    </cfRule>
  </conditionalFormatting>
  <conditionalFormatting sqref="E141">
    <cfRule type="containsText" dxfId="181" priority="90" operator="containsText" text="Pesquisa de Preços">
      <formula>NOT(ISERROR(SEARCH("Pesquisa de Preços",E141)))</formula>
    </cfRule>
  </conditionalFormatting>
  <conditionalFormatting sqref="E794">
    <cfRule type="containsText" dxfId="180" priority="89" operator="containsText" text="Pesquisa de Preços">
      <formula>NOT(ISERROR(SEARCH("Pesquisa de Preços",E794)))</formula>
    </cfRule>
  </conditionalFormatting>
  <conditionalFormatting sqref="E997">
    <cfRule type="containsText" dxfId="179" priority="88" operator="containsText" text="Pesquisa de Preços">
      <formula>NOT(ISERROR(SEARCH("Pesquisa de Preços",E997)))</formula>
    </cfRule>
  </conditionalFormatting>
  <conditionalFormatting sqref="E1002">
    <cfRule type="containsText" dxfId="178" priority="87" operator="containsText" text="Pesquisa de Preços">
      <formula>NOT(ISERROR(SEARCH("Pesquisa de Preços",E1002)))</formula>
    </cfRule>
  </conditionalFormatting>
  <conditionalFormatting sqref="E113">
    <cfRule type="containsText" dxfId="177" priority="86" operator="containsText" text="Pesquisa de Preços">
      <formula>NOT(ISERROR(SEARCH("Pesquisa de Preços",E113)))</formula>
    </cfRule>
  </conditionalFormatting>
  <conditionalFormatting sqref="E114">
    <cfRule type="containsText" dxfId="176" priority="85" operator="containsText" text="Pesquisa de Preços">
      <formula>NOT(ISERROR(SEARCH("Pesquisa de Preços",E114)))</formula>
    </cfRule>
  </conditionalFormatting>
  <conditionalFormatting sqref="E1473">
    <cfRule type="containsText" dxfId="175" priority="41" operator="containsText" text="Pesquisa de Preços">
      <formula>NOT(ISERROR(SEARCH("Pesquisa de Preços",E1473)))</formula>
    </cfRule>
  </conditionalFormatting>
  <conditionalFormatting sqref="E1685:E1686">
    <cfRule type="containsText" dxfId="174" priority="84" operator="containsText" text="Pesquisa de Preços">
      <formula>NOT(ISERROR(SEARCH("Pesquisa de Preços",E1685)))</formula>
    </cfRule>
  </conditionalFormatting>
  <conditionalFormatting sqref="E1651">
    <cfRule type="containsText" dxfId="173" priority="83" operator="containsText" text="Pesquisa de Preços">
      <formula>NOT(ISERROR(SEARCH("Pesquisa de Preços",E1651)))</formula>
    </cfRule>
  </conditionalFormatting>
  <conditionalFormatting sqref="E1734">
    <cfRule type="containsText" dxfId="172" priority="82" operator="containsText" text="Pesquisa de Preços">
      <formula>NOT(ISERROR(SEARCH("Pesquisa de Preços",E1734)))</formula>
    </cfRule>
  </conditionalFormatting>
  <conditionalFormatting sqref="E1713">
    <cfRule type="containsText" dxfId="171" priority="81" operator="containsText" text="Pesquisa de Preços">
      <formula>NOT(ISERROR(SEARCH("Pesquisa de Preços",E1713)))</formula>
    </cfRule>
  </conditionalFormatting>
  <conditionalFormatting sqref="E1815">
    <cfRule type="containsText" dxfId="170" priority="79" operator="containsText" text="Pesquisa de Preços">
      <formula>NOT(ISERROR(SEARCH("Pesquisa de Preços",E1815)))</formula>
    </cfRule>
  </conditionalFormatting>
  <conditionalFormatting sqref="E1829">
    <cfRule type="containsText" dxfId="169" priority="78" operator="containsText" text="Pesquisa de Preços">
      <formula>NOT(ISERROR(SEARCH("Pesquisa de Preços",E1829)))</formula>
    </cfRule>
  </conditionalFormatting>
  <conditionalFormatting sqref="E1828">
    <cfRule type="containsText" dxfId="168" priority="77" operator="containsText" text="Pesquisa de Preços">
      <formula>NOT(ISERROR(SEARCH("Pesquisa de Preços",E1828)))</formula>
    </cfRule>
  </conditionalFormatting>
  <conditionalFormatting sqref="E1830">
    <cfRule type="containsText" dxfId="167" priority="76" operator="containsText" text="Pesquisa de Preços">
      <formula>NOT(ISERROR(SEARCH("Pesquisa de Preços",E1830)))</formula>
    </cfRule>
  </conditionalFormatting>
  <conditionalFormatting sqref="E1911">
    <cfRule type="containsText" dxfId="166" priority="74" operator="containsText" text="Pesquisa de Preços">
      <formula>NOT(ISERROR(SEARCH("Pesquisa de Preços",E1911)))</formula>
    </cfRule>
  </conditionalFormatting>
  <conditionalFormatting sqref="E833">
    <cfRule type="containsText" dxfId="165" priority="73" operator="containsText" text="Pesquisa de Preços">
      <formula>NOT(ISERROR(SEARCH("Pesquisa de Preços",E833)))</formula>
    </cfRule>
  </conditionalFormatting>
  <conditionalFormatting sqref="E2362">
    <cfRule type="containsText" dxfId="164" priority="71" operator="containsText" text="Pesquisa de Preços">
      <formula>NOT(ISERROR(SEARCH("Pesquisa de Preços",E2362)))</formula>
    </cfRule>
  </conditionalFormatting>
  <conditionalFormatting sqref="E2240">
    <cfRule type="containsText" dxfId="163" priority="70" operator="containsText" text="Pesquisa de Preços">
      <formula>NOT(ISERROR(SEARCH("Pesquisa de Preços",E2240)))</formula>
    </cfRule>
  </conditionalFormatting>
  <conditionalFormatting sqref="E2241">
    <cfRule type="containsText" dxfId="162" priority="69" operator="containsText" text="Pesquisa de Preços">
      <formula>NOT(ISERROR(SEARCH("Pesquisa de Preços",E2241)))</formula>
    </cfRule>
  </conditionalFormatting>
  <conditionalFormatting sqref="E2355">
    <cfRule type="containsText" dxfId="161" priority="68" operator="containsText" text="Pesquisa de Preços">
      <formula>NOT(ISERROR(SEARCH("Pesquisa de Preços",E2355)))</formula>
    </cfRule>
  </conditionalFormatting>
  <conditionalFormatting sqref="E132">
    <cfRule type="containsText" dxfId="160" priority="67" operator="containsText" text="Pesquisa de Preços">
      <formula>NOT(ISERROR(SEARCH("Pesquisa de Preços",E132)))</formula>
    </cfRule>
  </conditionalFormatting>
  <conditionalFormatting sqref="E1111">
    <cfRule type="containsText" dxfId="159" priority="66" operator="containsText" text="Pesquisa de Preços">
      <formula>NOT(ISERROR(SEARCH("Pesquisa de Preços",E1111)))</formula>
    </cfRule>
  </conditionalFormatting>
  <conditionalFormatting sqref="E1634">
    <cfRule type="containsText" dxfId="158" priority="65" operator="containsText" text="Pesquisa de Preços">
      <formula>NOT(ISERROR(SEARCH("Pesquisa de Preços",E1634)))</formula>
    </cfRule>
  </conditionalFormatting>
  <conditionalFormatting sqref="E1633">
    <cfRule type="containsText" dxfId="157" priority="64" operator="containsText" text="Pesquisa de Preços">
      <formula>NOT(ISERROR(SEARCH("Pesquisa de Preços",E1633)))</formula>
    </cfRule>
  </conditionalFormatting>
  <conditionalFormatting sqref="E322">
    <cfRule type="containsText" dxfId="156" priority="63" operator="containsText" text="Pesquisa de Preços">
      <formula>NOT(ISERROR(SEARCH("Pesquisa de Preços",E322)))</formula>
    </cfRule>
  </conditionalFormatting>
  <conditionalFormatting sqref="E1946">
    <cfRule type="containsText" dxfId="155" priority="40" operator="containsText" text="Pesquisa de Preços">
      <formula>NOT(ISERROR(SEARCH("Pesquisa de Preços",E1946)))</formula>
    </cfRule>
  </conditionalFormatting>
  <conditionalFormatting sqref="E1949">
    <cfRule type="containsText" dxfId="154" priority="39" operator="containsText" text="Pesquisa de Preços">
      <formula>NOT(ISERROR(SEARCH("Pesquisa de Preços",E1949)))</formula>
    </cfRule>
  </conditionalFormatting>
  <conditionalFormatting sqref="E80">
    <cfRule type="containsText" dxfId="153" priority="62" operator="containsText" text="Pesquisa de Preços">
      <formula>NOT(ISERROR(SEARCH("Pesquisa de Preços",E80)))</formula>
    </cfRule>
  </conditionalFormatting>
  <conditionalFormatting sqref="E1128">
    <cfRule type="containsText" dxfId="152" priority="61" operator="containsText" text="Pesquisa de Preços">
      <formula>NOT(ISERROR(SEARCH("Pesquisa de Preços",E1128)))</formula>
    </cfRule>
  </conditionalFormatting>
  <conditionalFormatting sqref="E1127">
    <cfRule type="containsText" dxfId="151" priority="60" operator="containsText" text="Pesquisa de Preços">
      <formula>NOT(ISERROR(SEARCH("Pesquisa de Preços",E1127)))</formula>
    </cfRule>
  </conditionalFormatting>
  <conditionalFormatting sqref="E1126">
    <cfRule type="containsText" dxfId="150" priority="59" operator="containsText" text="Pesquisa de Preços">
      <formula>NOT(ISERROR(SEARCH("Pesquisa de Preços",E1126)))</formula>
    </cfRule>
  </conditionalFormatting>
  <conditionalFormatting sqref="E403:E413">
    <cfRule type="containsText" dxfId="149" priority="58" operator="containsText" text="Pesquisa de Preços">
      <formula>NOT(ISERROR(SEARCH("Pesquisa de Preços",E403)))</formula>
    </cfRule>
  </conditionalFormatting>
  <conditionalFormatting sqref="E2123:E2124">
    <cfRule type="containsText" dxfId="148" priority="38" operator="containsText" text="Pesquisa de Preços">
      <formula>NOT(ISERROR(SEARCH("Pesquisa de Preços",E2123)))</formula>
    </cfRule>
  </conditionalFormatting>
  <conditionalFormatting sqref="E194">
    <cfRule type="containsText" dxfId="147" priority="57" operator="containsText" text="Pesquisa de Preços">
      <formula>NOT(ISERROR(SEARCH("Pesquisa de Preços",E194)))</formula>
    </cfRule>
  </conditionalFormatting>
  <conditionalFormatting sqref="E826:E830">
    <cfRule type="containsText" dxfId="146" priority="56" operator="containsText" text="Pesquisa de Preços">
      <formula>NOT(ISERROR(SEARCH("Pesquisa de Preços",E826)))</formula>
    </cfRule>
  </conditionalFormatting>
  <conditionalFormatting sqref="E826:E830">
    <cfRule type="containsText" dxfId="145" priority="55" operator="containsText" text="Pesquisa de Preços">
      <formula>NOT(ISERROR(SEARCH("Pesquisa de Preços",E826)))</formula>
    </cfRule>
  </conditionalFormatting>
  <conditionalFormatting sqref="E1921">
    <cfRule type="containsText" dxfId="144" priority="54" operator="containsText" text="Pesquisa de Preços">
      <formula>NOT(ISERROR(SEARCH("Pesquisa de Preços",E1921)))</formula>
    </cfRule>
  </conditionalFormatting>
  <conditionalFormatting sqref="E1922">
    <cfRule type="containsText" dxfId="143" priority="53" operator="containsText" text="Pesquisa de Preços">
      <formula>NOT(ISERROR(SEARCH("Pesquisa de Preços",E1922)))</formula>
    </cfRule>
  </conditionalFormatting>
  <conditionalFormatting sqref="E804">
    <cfRule type="containsText" dxfId="142" priority="52" operator="containsText" text="Pesquisa de Preços">
      <formula>NOT(ISERROR(SEARCH("Pesquisa de Preços",E804)))</formula>
    </cfRule>
  </conditionalFormatting>
  <conditionalFormatting sqref="E761">
    <cfRule type="containsText" dxfId="141" priority="51" operator="containsText" text="Pesquisa de Preços">
      <formula>NOT(ISERROR(SEARCH("Pesquisa de Preços",E761)))</formula>
    </cfRule>
  </conditionalFormatting>
  <conditionalFormatting sqref="E760">
    <cfRule type="containsText" dxfId="140" priority="50" operator="containsText" text="Pesquisa de Preços">
      <formula>NOT(ISERROR(SEARCH("Pesquisa de Preços",E760)))</formula>
    </cfRule>
  </conditionalFormatting>
  <conditionalFormatting sqref="E844">
    <cfRule type="containsText" dxfId="139" priority="49" operator="containsText" text="Pesquisa de Preços">
      <formula>NOT(ISERROR(SEARCH("Pesquisa de Preços",E844)))</formula>
    </cfRule>
  </conditionalFormatting>
  <conditionalFormatting sqref="E865:E866">
    <cfRule type="containsText" dxfId="138" priority="48" operator="containsText" text="Pesquisa de Preços">
      <formula>NOT(ISERROR(SEARCH("Pesquisa de Preços",E865)))</formula>
    </cfRule>
  </conditionalFormatting>
  <conditionalFormatting sqref="E2150">
    <cfRule type="containsText" dxfId="137" priority="37" operator="containsText" text="Pesquisa de Preços">
      <formula>NOT(ISERROR(SEARCH("Pesquisa de Preços",E2150)))</formula>
    </cfRule>
  </conditionalFormatting>
  <conditionalFormatting sqref="E863">
    <cfRule type="containsText" dxfId="136" priority="47" operator="containsText" text="Pesquisa de Preços">
      <formula>NOT(ISERROR(SEARCH("Pesquisa de Preços",E863)))</formula>
    </cfRule>
  </conditionalFormatting>
  <conditionalFormatting sqref="E886">
    <cfRule type="containsText" dxfId="135" priority="46" operator="containsText" text="Pesquisa de Preços">
      <formula>NOT(ISERROR(SEARCH("Pesquisa de Preços",E886)))</formula>
    </cfRule>
  </conditionalFormatting>
  <conditionalFormatting sqref="E170">
    <cfRule type="containsText" dxfId="134" priority="35" operator="containsText" text="Pesquisa de Preços">
      <formula>NOT(ISERROR(SEARCH("Pesquisa de Preços",E170)))</formula>
    </cfRule>
  </conditionalFormatting>
  <conditionalFormatting sqref="E171:E172">
    <cfRule type="containsText" dxfId="133" priority="36" operator="containsText" text="Pesquisa de Preços">
      <formula>NOT(ISERROR(SEARCH("Pesquisa de Preços",E171)))</formula>
    </cfRule>
  </conditionalFormatting>
  <conditionalFormatting sqref="H6:H4412 H4416:H6005">
    <cfRule type="notContainsText" dxfId="132" priority="16" operator="notContains" text="Sinapi">
      <formula>ISERROR(SEARCH("Sinapi",H6))</formula>
    </cfRule>
    <cfRule type="containsBlanks" dxfId="131" priority="17">
      <formula>LEN(TRIM(H6))=0</formula>
    </cfRule>
  </conditionalFormatting>
  <conditionalFormatting sqref="D2559">
    <cfRule type="containsText" dxfId="130" priority="14" operator="containsText" text="Pesquisa de Preços">
      <formula>NOT(ISERROR(SEARCH("Pesquisa de Preços",D2559)))</formula>
    </cfRule>
  </conditionalFormatting>
  <conditionalFormatting sqref="D2564">
    <cfRule type="containsText" dxfId="129" priority="10" operator="containsText" text="Pesquisa de Preços">
      <formula>NOT(ISERROR(SEARCH("Pesquisa de Preços",D2564)))</formula>
    </cfRule>
  </conditionalFormatting>
  <conditionalFormatting sqref="H4413">
    <cfRule type="notContainsText" dxfId="128" priority="4" operator="notContains" text="Sinapi">
      <formula>ISERROR(SEARCH("Sinapi",H4413))</formula>
    </cfRule>
    <cfRule type="containsBlanks" dxfId="127" priority="5">
      <formula>LEN(TRIM(H4413))=0</formula>
    </cfRule>
  </conditionalFormatting>
  <conditionalFormatting sqref="H4414:H4415">
    <cfRule type="notContainsText" dxfId="126" priority="1" operator="notContains" text="Sinapi">
      <formula>ISERROR(SEARCH("Sinapi",H4414))</formula>
    </cfRule>
    <cfRule type="containsBlanks" dxfId="125" priority="2">
      <formula>LEN(TRIM(H4414))=0</formula>
    </cfRule>
  </conditionalFormatting>
  <hyperlinks>
    <hyperlink ref="C462" r:id="rId1"/>
    <hyperlink ref="C496" r:id="rId2"/>
    <hyperlink ref="C495" r:id="rId3"/>
    <hyperlink ref="C480" r:id="rId4"/>
    <hyperlink ref="C481" r:id="rId5"/>
    <hyperlink ref="C4325" r:id="rId6"/>
    <hyperlink ref="C4392" r:id="rId7"/>
    <hyperlink ref="C4371" r:id="rId8"/>
  </hyperlinks>
  <printOptions horizontalCentered="1"/>
  <pageMargins left="0.19685039370078741" right="0.19685039370078741" top="1.1811023622047245" bottom="0.59055118110236227" header="0.19685039370078741" footer="0.19685039370078741"/>
  <pageSetup paperSize="9" scale="47" fitToHeight="0" orientation="landscape" horizontalDpi="4294967295" verticalDpi="4294967295" r:id="rId9"/>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legacyDrawing r:id="rId10"/>
  <legacyDrawingHF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filterMode="1">
    <pageSetUpPr fitToPage="1"/>
  </sheetPr>
  <dimension ref="A1:K361"/>
  <sheetViews>
    <sheetView zoomScale="80" zoomScaleNormal="80" workbookViewId="0">
      <selection activeCell="I8" sqref="I8"/>
    </sheetView>
  </sheetViews>
  <sheetFormatPr defaultRowHeight="15" x14ac:dyDescent="0.25"/>
  <cols>
    <col min="1" max="1" width="46.85546875" style="106" customWidth="1"/>
    <col min="2" max="2" width="80.7109375" style="276" customWidth="1"/>
    <col min="3" max="3" width="15.7109375" style="106" customWidth="1"/>
    <col min="4" max="4" width="20.7109375" style="106" customWidth="1"/>
    <col min="5" max="5" width="40.7109375" style="106" customWidth="1"/>
    <col min="6" max="6" width="15.7109375" style="106" customWidth="1"/>
    <col min="7" max="7" width="25.7109375" style="106" customWidth="1"/>
    <col min="8" max="9" width="17.7109375" style="106" customWidth="1"/>
    <col min="10" max="10" width="5.7109375" customWidth="1"/>
    <col min="11" max="11" width="14.42578125" customWidth="1"/>
  </cols>
  <sheetData>
    <row r="1" spans="1:11" ht="24.95" customHeight="1" x14ac:dyDescent="0.25">
      <c r="A1" s="96" t="str">
        <f>Composições!A1</f>
        <v>Reforma do Espaço do Servidor - 1ª etapa</v>
      </c>
      <c r="B1" s="96"/>
      <c r="C1" s="96"/>
      <c r="D1" s="96"/>
      <c r="E1" s="96"/>
      <c r="F1" s="96"/>
      <c r="G1" s="96"/>
      <c r="H1" s="96"/>
      <c r="I1" s="96"/>
      <c r="J1" s="79"/>
      <c r="K1" s="80"/>
    </row>
    <row r="2" spans="1:11" ht="24.95" customHeight="1" x14ac:dyDescent="0.25">
      <c r="A2" s="127" t="s">
        <v>2623</v>
      </c>
      <c r="B2" s="217"/>
      <c r="C2" s="217"/>
      <c r="D2" s="217"/>
      <c r="E2" s="217"/>
      <c r="F2" s="217"/>
      <c r="G2" s="217"/>
      <c r="H2" s="217"/>
      <c r="I2" s="217"/>
      <c r="J2" s="8"/>
      <c r="K2" s="80"/>
    </row>
    <row r="3" spans="1:11" ht="20.100000000000001" customHeight="1" x14ac:dyDescent="0.25">
      <c r="A3" s="220" t="str">
        <f>Composições!A3</f>
        <v>Data: Julho de 2020</v>
      </c>
      <c r="B3" s="220"/>
      <c r="C3" s="220"/>
      <c r="D3" s="220"/>
      <c r="E3" s="220"/>
      <c r="F3" s="220"/>
      <c r="G3" s="220"/>
      <c r="H3" s="220"/>
      <c r="I3" s="220"/>
      <c r="J3" s="9"/>
      <c r="K3" s="81"/>
    </row>
    <row r="4" spans="1:11" ht="30" customHeight="1" thickBot="1" x14ac:dyDescent="0.3">
      <c r="A4" s="227"/>
      <c r="B4" s="227"/>
      <c r="C4" s="227"/>
      <c r="D4" s="227"/>
      <c r="E4" s="227"/>
      <c r="J4" s="10"/>
      <c r="K4" s="81"/>
    </row>
    <row r="5" spans="1:11" ht="65.099999999999994" customHeight="1" thickBot="1" x14ac:dyDescent="0.3">
      <c r="A5" s="267" t="s">
        <v>7</v>
      </c>
      <c r="B5" s="247" t="s">
        <v>8</v>
      </c>
      <c r="C5" s="247" t="s">
        <v>9</v>
      </c>
      <c r="D5" s="247" t="s">
        <v>10</v>
      </c>
      <c r="E5" s="247" t="s">
        <v>11</v>
      </c>
      <c r="F5" s="247" t="s">
        <v>12</v>
      </c>
      <c r="G5" s="247" t="s">
        <v>13</v>
      </c>
      <c r="H5" s="247" t="s">
        <v>14</v>
      </c>
      <c r="I5" s="247" t="s">
        <v>2624</v>
      </c>
      <c r="J5" s="11"/>
      <c r="K5" s="82" t="s">
        <v>16</v>
      </c>
    </row>
    <row r="6" spans="1:11" ht="26.25" customHeight="1" thickBot="1" x14ac:dyDescent="0.3">
      <c r="A6" s="268" t="s">
        <v>227</v>
      </c>
      <c r="B6" s="269" t="s">
        <v>1079</v>
      </c>
      <c r="C6" s="270" t="s">
        <v>252</v>
      </c>
      <c r="D6" s="248"/>
      <c r="E6" s="254" t="s">
        <v>229</v>
      </c>
      <c r="F6" s="255" t="s">
        <v>1079</v>
      </c>
      <c r="G6" s="255"/>
      <c r="H6" s="255" t="s">
        <v>1079</v>
      </c>
      <c r="I6" s="286"/>
      <c r="J6" s="18"/>
      <c r="K6" s="175">
        <v>8.6109999999999992E-2</v>
      </c>
    </row>
    <row r="7" spans="1:11" x14ac:dyDescent="0.25">
      <c r="A7" s="268"/>
      <c r="B7" s="155" t="s">
        <v>1079</v>
      </c>
      <c r="C7" s="155"/>
      <c r="D7" s="249"/>
      <c r="E7" s="256"/>
      <c r="F7" s="257" t="s">
        <v>1079</v>
      </c>
      <c r="G7" s="155"/>
      <c r="H7" s="257" t="s">
        <v>1079</v>
      </c>
      <c r="I7" s="281"/>
      <c r="J7" s="19"/>
      <c r="K7" s="175">
        <v>8.6109999999999992E-2</v>
      </c>
    </row>
    <row r="8" spans="1:11" x14ac:dyDescent="0.25">
      <c r="A8" s="268"/>
      <c r="B8" s="105" t="s">
        <v>238</v>
      </c>
      <c r="C8" s="105" t="s">
        <v>252</v>
      </c>
      <c r="D8" s="250">
        <v>1.07</v>
      </c>
      <c r="E8" s="176" t="s">
        <v>2625</v>
      </c>
      <c r="F8" s="257">
        <v>93.8125</v>
      </c>
      <c r="G8" s="176" t="s">
        <v>240</v>
      </c>
      <c r="H8" s="258">
        <v>100.37937500000001</v>
      </c>
      <c r="I8" s="282">
        <f>SUM(H8:H12)</f>
        <v>429.61257295000001</v>
      </c>
      <c r="J8" s="35"/>
      <c r="K8" s="175">
        <v>8.6109999999999992E-2</v>
      </c>
    </row>
    <row r="9" spans="1:11" x14ac:dyDescent="0.25">
      <c r="A9" s="268"/>
      <c r="B9" s="105" t="s">
        <v>241</v>
      </c>
      <c r="C9" s="105" t="s">
        <v>1629</v>
      </c>
      <c r="D9" s="250">
        <v>482.96</v>
      </c>
      <c r="E9" s="176" t="s">
        <v>2625</v>
      </c>
      <c r="F9" s="258">
        <v>0.38</v>
      </c>
      <c r="G9" s="176" t="s">
        <v>242</v>
      </c>
      <c r="H9" s="258">
        <v>183.5248</v>
      </c>
      <c r="I9" s="282"/>
      <c r="J9" s="35"/>
      <c r="K9" s="175">
        <v>8.6109999999999992E-2</v>
      </c>
    </row>
    <row r="10" spans="1:11" x14ac:dyDescent="0.25">
      <c r="A10" s="268"/>
      <c r="B10" s="105" t="s">
        <v>2626</v>
      </c>
      <c r="C10" s="105" t="s">
        <v>1366</v>
      </c>
      <c r="D10" s="250">
        <v>8.57</v>
      </c>
      <c r="E10" s="176" t="s">
        <v>2625</v>
      </c>
      <c r="F10" s="257">
        <v>14.325999999999999</v>
      </c>
      <c r="G10" s="176" t="s">
        <v>39</v>
      </c>
      <c r="H10" s="258">
        <v>122.77381999999999</v>
      </c>
      <c r="I10" s="282"/>
      <c r="J10" s="35"/>
      <c r="K10" s="175">
        <v>8.6109999999999992E-2</v>
      </c>
    </row>
    <row r="11" spans="1:11" ht="25.5" x14ac:dyDescent="0.25">
      <c r="A11" s="268"/>
      <c r="B11" s="105" t="s">
        <v>251</v>
      </c>
      <c r="C11" s="105" t="s">
        <v>252</v>
      </c>
      <c r="D11" s="250">
        <f>ROUND(1*D8,4)</f>
        <v>1.07</v>
      </c>
      <c r="E11" s="176" t="s">
        <v>17</v>
      </c>
      <c r="F11" s="257">
        <v>0.72471700000000006</v>
      </c>
      <c r="G11" s="176" t="s">
        <v>253</v>
      </c>
      <c r="H11" s="258">
        <v>0.77544719000000006</v>
      </c>
      <c r="I11" s="282"/>
      <c r="J11" s="35"/>
      <c r="K11" s="175">
        <v>8.6109999999999992E-2</v>
      </c>
    </row>
    <row r="12" spans="1:11" ht="38.25" x14ac:dyDescent="0.25">
      <c r="A12" s="268"/>
      <c r="B12" s="105" t="s">
        <v>254</v>
      </c>
      <c r="C12" s="271" t="s">
        <v>255</v>
      </c>
      <c r="D12" s="250">
        <f>ROUND(D8*20,4)</f>
        <v>21.4</v>
      </c>
      <c r="E12" s="176" t="s">
        <v>17</v>
      </c>
      <c r="F12" s="257">
        <v>1.0354733999999999</v>
      </c>
      <c r="G12" s="176" t="s">
        <v>256</v>
      </c>
      <c r="H12" s="258">
        <v>22.159130759999996</v>
      </c>
      <c r="I12" s="282"/>
      <c r="J12" s="35"/>
      <c r="K12" s="175">
        <v>8.6109999999999992E-2</v>
      </c>
    </row>
    <row r="13" spans="1:11" x14ac:dyDescent="0.25">
      <c r="A13" s="268"/>
      <c r="B13" s="225"/>
      <c r="C13" s="271"/>
      <c r="D13" s="250"/>
      <c r="E13" s="176"/>
      <c r="F13" s="257" t="s">
        <v>1079</v>
      </c>
      <c r="G13" s="176"/>
      <c r="H13" s="258" t="s">
        <v>1079</v>
      </c>
      <c r="I13" s="282"/>
      <c r="J13" s="35"/>
      <c r="K13" s="175">
        <v>8.6109999999999992E-2</v>
      </c>
    </row>
    <row r="14" spans="1:11" x14ac:dyDescent="0.25">
      <c r="A14" s="268"/>
      <c r="B14" s="2" t="s">
        <v>1459</v>
      </c>
      <c r="C14" s="271"/>
      <c r="D14" s="250"/>
      <c r="E14" s="176"/>
      <c r="F14" s="257" t="s">
        <v>1079</v>
      </c>
      <c r="G14" s="176"/>
      <c r="H14" s="258" t="s">
        <v>1079</v>
      </c>
      <c r="I14" s="282"/>
      <c r="J14" s="35"/>
      <c r="K14" s="175">
        <v>8.6109999999999992E-2</v>
      </c>
    </row>
    <row r="15" spans="1:11" ht="15.75" thickBot="1" x14ac:dyDescent="0.3">
      <c r="A15" s="272"/>
      <c r="B15" s="105" t="s">
        <v>1079</v>
      </c>
      <c r="C15" s="105"/>
      <c r="D15" s="251"/>
      <c r="E15" s="176"/>
      <c r="F15" s="257" t="s">
        <v>1079</v>
      </c>
      <c r="G15" s="176"/>
      <c r="H15" s="258" t="s">
        <v>1079</v>
      </c>
      <c r="I15" s="281"/>
      <c r="J15" s="19"/>
      <c r="K15" s="175">
        <v>8.6109999999999992E-2</v>
      </c>
    </row>
    <row r="16" spans="1:11" ht="15.75" customHeight="1" thickBot="1" x14ac:dyDescent="0.3">
      <c r="A16" s="273" t="s">
        <v>868</v>
      </c>
      <c r="B16" s="274" t="s">
        <v>1079</v>
      </c>
      <c r="C16" s="265" t="s">
        <v>588</v>
      </c>
      <c r="D16" s="252"/>
      <c r="E16" s="259" t="str">
        <f>E18</f>
        <v>Sinapi 95541</v>
      </c>
      <c r="F16" s="260" t="s">
        <v>1079</v>
      </c>
      <c r="G16" s="261"/>
      <c r="H16" s="260" t="s">
        <v>1079</v>
      </c>
      <c r="I16" s="280"/>
      <c r="J16" s="18"/>
      <c r="K16" s="175">
        <v>2</v>
      </c>
    </row>
    <row r="17" spans="1:11" x14ac:dyDescent="0.25">
      <c r="A17" s="268"/>
      <c r="B17" s="155" t="s">
        <v>1079</v>
      </c>
      <c r="C17" s="155"/>
      <c r="D17" s="249"/>
      <c r="E17" s="256"/>
      <c r="F17" s="262" t="s">
        <v>1079</v>
      </c>
      <c r="G17" s="155"/>
      <c r="H17" s="257" t="s">
        <v>1079</v>
      </c>
      <c r="I17" s="281"/>
      <c r="J17" s="19"/>
      <c r="K17" s="175">
        <v>2</v>
      </c>
    </row>
    <row r="18" spans="1:11" ht="25.5" x14ac:dyDescent="0.25">
      <c r="A18" s="268"/>
      <c r="B18" s="105" t="s">
        <v>224</v>
      </c>
      <c r="C18" s="105" t="s">
        <v>1366</v>
      </c>
      <c r="D18" s="250">
        <v>2.2700000000000001E-2</v>
      </c>
      <c r="E18" s="176" t="s">
        <v>774</v>
      </c>
      <c r="F18" s="257">
        <v>14.772500000000001</v>
      </c>
      <c r="G18" s="176" t="s">
        <v>226</v>
      </c>
      <c r="H18" s="258">
        <v>0.33533575000000004</v>
      </c>
      <c r="I18" s="282">
        <f>SUM(H18:H19)</f>
        <v>3.3736571</v>
      </c>
      <c r="J18" s="35"/>
      <c r="K18" s="175">
        <v>2</v>
      </c>
    </row>
    <row r="19" spans="1:11" x14ac:dyDescent="0.25">
      <c r="A19" s="268"/>
      <c r="B19" s="105" t="s">
        <v>2627</v>
      </c>
      <c r="C19" s="105" t="s">
        <v>1366</v>
      </c>
      <c r="D19" s="250">
        <v>0.16209999999999999</v>
      </c>
      <c r="E19" s="176" t="s">
        <v>774</v>
      </c>
      <c r="F19" s="257">
        <v>18.743500000000001</v>
      </c>
      <c r="G19" s="176" t="s">
        <v>71</v>
      </c>
      <c r="H19" s="258">
        <v>3.0383213499999999</v>
      </c>
      <c r="I19" s="282"/>
      <c r="J19" s="35"/>
      <c r="K19" s="175">
        <v>2</v>
      </c>
    </row>
    <row r="20" spans="1:11" ht="15.75" thickBot="1" x14ac:dyDescent="0.3">
      <c r="A20" s="272"/>
      <c r="B20" s="105" t="s">
        <v>1079</v>
      </c>
      <c r="C20" s="105"/>
      <c r="D20" s="251"/>
      <c r="E20" s="176"/>
      <c r="F20" s="257" t="s">
        <v>1079</v>
      </c>
      <c r="G20" s="176"/>
      <c r="H20" s="257" t="s">
        <v>1079</v>
      </c>
      <c r="I20" s="281"/>
      <c r="J20" s="19"/>
      <c r="K20" s="175">
        <v>2</v>
      </c>
    </row>
    <row r="21" spans="1:11" ht="15.75" hidden="1" customHeight="1" thickBot="1" x14ac:dyDescent="0.3">
      <c r="A21" s="188" t="s">
        <v>1004</v>
      </c>
      <c r="B21" s="30" t="s">
        <v>1079</v>
      </c>
      <c r="C21" s="13" t="s">
        <v>988</v>
      </c>
      <c r="D21" s="87"/>
      <c r="E21" s="15" t="str">
        <f>E23</f>
        <v>Sinapi 91170</v>
      </c>
      <c r="F21" s="31" t="s">
        <v>1079</v>
      </c>
      <c r="G21" s="16"/>
      <c r="H21" s="31" t="s">
        <v>1079</v>
      </c>
      <c r="I21" s="17"/>
      <c r="J21" s="18"/>
      <c r="K21" s="175">
        <v>0</v>
      </c>
    </row>
    <row r="22" spans="1:11" ht="15.75" hidden="1" thickBot="1" x14ac:dyDescent="0.3">
      <c r="A22" s="185"/>
      <c r="B22" s="20" t="s">
        <v>1079</v>
      </c>
      <c r="C22" s="20"/>
      <c r="D22" s="85"/>
      <c r="E22" s="43"/>
      <c r="F22" s="32" t="s">
        <v>1079</v>
      </c>
      <c r="G22" s="20"/>
      <c r="H22" s="19" t="s">
        <v>1079</v>
      </c>
      <c r="I22" s="24"/>
      <c r="J22" s="19"/>
      <c r="K22" s="175">
        <v>0</v>
      </c>
    </row>
    <row r="23" spans="1:11" ht="26.25" hidden="1" thickBot="1" x14ac:dyDescent="0.3">
      <c r="A23" s="185"/>
      <c r="B23" s="25" t="s">
        <v>2628</v>
      </c>
      <c r="C23" s="25" t="s">
        <v>588</v>
      </c>
      <c r="D23" s="26">
        <v>0.65</v>
      </c>
      <c r="E23" s="27" t="s">
        <v>1005</v>
      </c>
      <c r="F23" s="23">
        <v>1.0355000000000001</v>
      </c>
      <c r="G23" s="27" t="s">
        <v>2629</v>
      </c>
      <c r="H23" s="23">
        <v>0.67307500000000009</v>
      </c>
      <c r="I23" s="34">
        <f>SUM(H23:H25)</f>
        <v>2.1141015000000003</v>
      </c>
      <c r="J23" s="35"/>
      <c r="K23" s="175">
        <v>0</v>
      </c>
    </row>
    <row r="24" spans="1:11" ht="26.25" hidden="1" thickBot="1" x14ac:dyDescent="0.3">
      <c r="A24" s="185"/>
      <c r="B24" s="25" t="s">
        <v>224</v>
      </c>
      <c r="C24" s="25" t="s">
        <v>1366</v>
      </c>
      <c r="D24" s="26">
        <v>0.01</v>
      </c>
      <c r="E24" s="27" t="s">
        <v>1005</v>
      </c>
      <c r="F24" s="19">
        <v>14.772500000000001</v>
      </c>
      <c r="G24" s="27" t="s">
        <v>226</v>
      </c>
      <c r="H24" s="23">
        <v>0.14772500000000002</v>
      </c>
      <c r="I24" s="34"/>
      <c r="J24" s="35"/>
      <c r="K24" s="175">
        <v>0</v>
      </c>
    </row>
    <row r="25" spans="1:11" ht="15.75" hidden="1" thickBot="1" x14ac:dyDescent="0.3">
      <c r="A25" s="185"/>
      <c r="B25" s="25" t="s">
        <v>2627</v>
      </c>
      <c r="C25" s="25" t="s">
        <v>1366</v>
      </c>
      <c r="D25" s="26">
        <v>6.9000000000000006E-2</v>
      </c>
      <c r="E25" s="27" t="s">
        <v>1005</v>
      </c>
      <c r="F25" s="19">
        <v>18.743500000000001</v>
      </c>
      <c r="G25" s="27" t="s">
        <v>71</v>
      </c>
      <c r="H25" s="23">
        <v>1.2933015000000001</v>
      </c>
      <c r="I25" s="34"/>
      <c r="J25" s="35"/>
      <c r="K25" s="175">
        <v>0</v>
      </c>
    </row>
    <row r="26" spans="1:11" ht="15.75" hidden="1" thickBot="1" x14ac:dyDescent="0.3">
      <c r="A26" s="189"/>
      <c r="B26" s="25" t="s">
        <v>1079</v>
      </c>
      <c r="C26" s="25"/>
      <c r="D26" s="86"/>
      <c r="E26" s="27"/>
      <c r="F26" s="19" t="s">
        <v>1079</v>
      </c>
      <c r="G26" s="27"/>
      <c r="H26" s="19" t="s">
        <v>1079</v>
      </c>
      <c r="I26" s="24"/>
      <c r="J26" s="19"/>
      <c r="K26" s="175">
        <v>0</v>
      </c>
    </row>
    <row r="27" spans="1:11" ht="15.75" customHeight="1" thickBot="1" x14ac:dyDescent="0.3">
      <c r="A27" s="273" t="s">
        <v>294</v>
      </c>
      <c r="B27" s="274" t="s">
        <v>1079</v>
      </c>
      <c r="C27" s="265" t="s">
        <v>1795</v>
      </c>
      <c r="D27" s="252"/>
      <c r="E27" s="259" t="str">
        <f>E29</f>
        <v>Sinapi 92265</v>
      </c>
      <c r="F27" s="260" t="s">
        <v>1079</v>
      </c>
      <c r="G27" s="261"/>
      <c r="H27" s="260" t="s">
        <v>1079</v>
      </c>
      <c r="I27" s="280"/>
      <c r="J27" s="18"/>
      <c r="K27" s="175">
        <v>8.8678799999999995</v>
      </c>
    </row>
    <row r="28" spans="1:11" x14ac:dyDescent="0.25">
      <c r="A28" s="268"/>
      <c r="B28" s="155" t="s">
        <v>1079</v>
      </c>
      <c r="C28" s="155"/>
      <c r="D28" s="249"/>
      <c r="E28" s="256"/>
      <c r="F28" s="262" t="s">
        <v>1079</v>
      </c>
      <c r="G28" s="155"/>
      <c r="H28" s="257" t="s">
        <v>1079</v>
      </c>
      <c r="I28" s="281"/>
      <c r="J28" s="19"/>
      <c r="K28" s="175">
        <v>8.8678799999999995</v>
      </c>
    </row>
    <row r="29" spans="1:11" ht="25.5" x14ac:dyDescent="0.25">
      <c r="A29" s="268"/>
      <c r="B29" s="105" t="s">
        <v>2630</v>
      </c>
      <c r="C29" s="105" t="s">
        <v>1795</v>
      </c>
      <c r="D29" s="250">
        <v>1.19</v>
      </c>
      <c r="E29" s="176" t="s">
        <v>295</v>
      </c>
      <c r="F29" s="258">
        <v>26.666499999999999</v>
      </c>
      <c r="G29" s="176" t="s">
        <v>2086</v>
      </c>
      <c r="H29" s="258">
        <v>31.733134999999997</v>
      </c>
      <c r="I29" s="282">
        <f>SUM(H29:H36)</f>
        <v>71.522117999999992</v>
      </c>
      <c r="J29" s="35"/>
      <c r="K29" s="175">
        <v>8.8678799999999995</v>
      </c>
    </row>
    <row r="30" spans="1:11" ht="25.5" x14ac:dyDescent="0.25">
      <c r="A30" s="268"/>
      <c r="B30" s="105" t="s">
        <v>183</v>
      </c>
      <c r="C30" s="105" t="s">
        <v>988</v>
      </c>
      <c r="D30" s="250">
        <v>0.16200000000000001</v>
      </c>
      <c r="E30" s="176" t="s">
        <v>295</v>
      </c>
      <c r="F30" s="258">
        <v>3.4390000000000001</v>
      </c>
      <c r="G30" s="176" t="s">
        <v>185</v>
      </c>
      <c r="H30" s="258">
        <v>0.557118</v>
      </c>
      <c r="I30" s="282"/>
      <c r="J30" s="35"/>
      <c r="K30" s="175">
        <v>8.8678799999999995</v>
      </c>
    </row>
    <row r="31" spans="1:11" ht="25.5" x14ac:dyDescent="0.25">
      <c r="A31" s="268"/>
      <c r="B31" s="105" t="s">
        <v>2631</v>
      </c>
      <c r="C31" s="105" t="s">
        <v>988</v>
      </c>
      <c r="D31" s="250">
        <v>7.734</v>
      </c>
      <c r="E31" s="176" t="s">
        <v>295</v>
      </c>
      <c r="F31" s="258">
        <v>1.2349999999999999</v>
      </c>
      <c r="G31" s="176" t="s">
        <v>2632</v>
      </c>
      <c r="H31" s="258">
        <v>9.5514899999999994</v>
      </c>
      <c r="I31" s="282"/>
      <c r="J31" s="35"/>
      <c r="K31" s="175">
        <v>8.8678799999999995</v>
      </c>
    </row>
    <row r="32" spans="1:11" x14ac:dyDescent="0.25">
      <c r="A32" s="268"/>
      <c r="B32" s="105" t="s">
        <v>2633</v>
      </c>
      <c r="C32" s="105" t="s">
        <v>1629</v>
      </c>
      <c r="D32" s="250">
        <v>0.155</v>
      </c>
      <c r="E32" s="176" t="s">
        <v>295</v>
      </c>
      <c r="F32" s="258">
        <v>9.613999999999999</v>
      </c>
      <c r="G32" s="176" t="s">
        <v>2540</v>
      </c>
      <c r="H32" s="258">
        <v>1.4901699999999998</v>
      </c>
      <c r="I32" s="282"/>
      <c r="J32" s="35"/>
      <c r="K32" s="175">
        <v>8.8678799999999995</v>
      </c>
    </row>
    <row r="33" spans="1:11" x14ac:dyDescent="0.25">
      <c r="A33" s="268"/>
      <c r="B33" s="105" t="s">
        <v>266</v>
      </c>
      <c r="C33" s="105" t="s">
        <v>1366</v>
      </c>
      <c r="D33" s="250">
        <v>0.222</v>
      </c>
      <c r="E33" s="176" t="s">
        <v>295</v>
      </c>
      <c r="F33" s="257">
        <v>16.159500000000001</v>
      </c>
      <c r="G33" s="176" t="s">
        <v>268</v>
      </c>
      <c r="H33" s="258">
        <v>3.5874090000000005</v>
      </c>
      <c r="I33" s="282"/>
      <c r="J33" s="35"/>
      <c r="K33" s="175">
        <v>8.8678799999999995</v>
      </c>
    </row>
    <row r="34" spans="1:11" x14ac:dyDescent="0.25">
      <c r="A34" s="268"/>
      <c r="B34" s="105" t="s">
        <v>153</v>
      </c>
      <c r="C34" s="105" t="s">
        <v>1366</v>
      </c>
      <c r="D34" s="250">
        <v>1.111</v>
      </c>
      <c r="E34" s="176" t="s">
        <v>295</v>
      </c>
      <c r="F34" s="257">
        <v>19.018999999999998</v>
      </c>
      <c r="G34" s="176" t="s">
        <v>155</v>
      </c>
      <c r="H34" s="258">
        <v>21.130108999999997</v>
      </c>
      <c r="I34" s="282"/>
      <c r="J34" s="35"/>
      <c r="K34" s="175">
        <v>8.8678799999999995</v>
      </c>
    </row>
    <row r="35" spans="1:11" ht="25.5" x14ac:dyDescent="0.25">
      <c r="A35" s="268"/>
      <c r="B35" s="105" t="s">
        <v>2634</v>
      </c>
      <c r="C35" s="105" t="s">
        <v>1691</v>
      </c>
      <c r="D35" s="250">
        <v>5.3999999999999999E-2</v>
      </c>
      <c r="E35" s="176" t="s">
        <v>295</v>
      </c>
      <c r="F35" s="257">
        <v>16.976500000000001</v>
      </c>
      <c r="G35" s="176" t="s">
        <v>2095</v>
      </c>
      <c r="H35" s="257">
        <v>0.91673100000000007</v>
      </c>
      <c r="I35" s="282"/>
      <c r="J35" s="35"/>
      <c r="K35" s="175">
        <v>8.8678799999999995</v>
      </c>
    </row>
    <row r="36" spans="1:11" ht="25.5" x14ac:dyDescent="0.25">
      <c r="A36" s="268"/>
      <c r="B36" s="105" t="s">
        <v>2635</v>
      </c>
      <c r="C36" s="105" t="s">
        <v>1694</v>
      </c>
      <c r="D36" s="250">
        <v>0.16900000000000001</v>
      </c>
      <c r="E36" s="176" t="s">
        <v>295</v>
      </c>
      <c r="F36" s="257">
        <v>15.123999999999999</v>
      </c>
      <c r="G36" s="176" t="s">
        <v>2097</v>
      </c>
      <c r="H36" s="257">
        <v>2.5559560000000001</v>
      </c>
      <c r="I36" s="282"/>
      <c r="J36" s="35"/>
      <c r="K36" s="175">
        <v>8.8678799999999995</v>
      </c>
    </row>
    <row r="37" spans="1:11" ht="15.75" thickBot="1" x14ac:dyDescent="0.3">
      <c r="A37" s="268"/>
      <c r="B37" s="105" t="s">
        <v>1079</v>
      </c>
      <c r="C37" s="105"/>
      <c r="D37" s="251"/>
      <c r="E37" s="176"/>
      <c r="F37" s="257" t="s">
        <v>1079</v>
      </c>
      <c r="G37" s="176"/>
      <c r="H37" s="257" t="s">
        <v>1079</v>
      </c>
      <c r="I37" s="281"/>
      <c r="J37" s="19"/>
      <c r="K37" s="175">
        <v>8.8678799999999995</v>
      </c>
    </row>
    <row r="38" spans="1:11" ht="15.75" customHeight="1" thickBot="1" x14ac:dyDescent="0.3">
      <c r="A38" s="273" t="s">
        <v>296</v>
      </c>
      <c r="B38" s="274" t="s">
        <v>1079</v>
      </c>
      <c r="C38" s="265" t="s">
        <v>988</v>
      </c>
      <c r="D38" s="252"/>
      <c r="E38" s="259" t="str">
        <f>E40</f>
        <v>Sinapi 92272</v>
      </c>
      <c r="F38" s="260" t="s">
        <v>1079</v>
      </c>
      <c r="G38" s="261"/>
      <c r="H38" s="260" t="s">
        <v>1079</v>
      </c>
      <c r="I38" s="280"/>
      <c r="J38" s="18"/>
      <c r="K38" s="175">
        <v>25.932479999999998</v>
      </c>
    </row>
    <row r="39" spans="1:11" x14ac:dyDescent="0.25">
      <c r="A39" s="268"/>
      <c r="B39" s="155" t="s">
        <v>1079</v>
      </c>
      <c r="C39" s="155"/>
      <c r="D39" s="249"/>
      <c r="E39" s="256"/>
      <c r="F39" s="262" t="s">
        <v>1079</v>
      </c>
      <c r="G39" s="155"/>
      <c r="H39" s="257" t="s">
        <v>1079</v>
      </c>
      <c r="I39" s="281"/>
      <c r="J39" s="19"/>
      <c r="K39" s="175">
        <v>25.932479999999998</v>
      </c>
    </row>
    <row r="40" spans="1:11" ht="25.5" x14ac:dyDescent="0.25">
      <c r="A40" s="268"/>
      <c r="B40" s="105" t="s">
        <v>2636</v>
      </c>
      <c r="C40" s="105" t="s">
        <v>1795</v>
      </c>
      <c r="D40" s="250">
        <v>0.126</v>
      </c>
      <c r="E40" s="176" t="s">
        <v>297</v>
      </c>
      <c r="F40" s="257">
        <v>35.900500000000001</v>
      </c>
      <c r="G40" s="176" t="s">
        <v>2637</v>
      </c>
      <c r="H40" s="257">
        <v>4.5234630000000005</v>
      </c>
      <c r="I40" s="282">
        <f>SUM(H40:H46)</f>
        <v>16.865387999999999</v>
      </c>
      <c r="J40" s="35"/>
      <c r="K40" s="175">
        <v>25.932479999999998</v>
      </c>
    </row>
    <row r="41" spans="1:11" ht="25.5" x14ac:dyDescent="0.25">
      <c r="A41" s="268"/>
      <c r="B41" s="105" t="s">
        <v>183</v>
      </c>
      <c r="C41" s="105" t="s">
        <v>988</v>
      </c>
      <c r="D41" s="250">
        <v>2.27</v>
      </c>
      <c r="E41" s="176" t="s">
        <v>297</v>
      </c>
      <c r="F41" s="257">
        <v>3.4390000000000001</v>
      </c>
      <c r="G41" s="176" t="s">
        <v>185</v>
      </c>
      <c r="H41" s="257">
        <v>7.8065300000000004</v>
      </c>
      <c r="I41" s="282"/>
      <c r="J41" s="35"/>
      <c r="K41" s="175">
        <v>25.932479999999998</v>
      </c>
    </row>
    <row r="42" spans="1:11" x14ac:dyDescent="0.25">
      <c r="A42" s="268"/>
      <c r="B42" s="105" t="s">
        <v>2633</v>
      </c>
      <c r="C42" s="105" t="s">
        <v>1629</v>
      </c>
      <c r="D42" s="250">
        <v>1.7000000000000001E-2</v>
      </c>
      <c r="E42" s="176" t="s">
        <v>297</v>
      </c>
      <c r="F42" s="257">
        <v>9.613999999999999</v>
      </c>
      <c r="G42" s="176" t="s">
        <v>2540</v>
      </c>
      <c r="H42" s="257">
        <v>0.163438</v>
      </c>
      <c r="I42" s="282"/>
      <c r="J42" s="35"/>
      <c r="K42" s="175">
        <v>25.932479999999998</v>
      </c>
    </row>
    <row r="43" spans="1:11" x14ac:dyDescent="0.25">
      <c r="A43" s="268"/>
      <c r="B43" s="105" t="s">
        <v>266</v>
      </c>
      <c r="C43" s="105" t="s">
        <v>1366</v>
      </c>
      <c r="D43" s="250">
        <v>3.4000000000000002E-2</v>
      </c>
      <c r="E43" s="176" t="s">
        <v>297</v>
      </c>
      <c r="F43" s="257">
        <v>16.159500000000001</v>
      </c>
      <c r="G43" s="176" t="s">
        <v>268</v>
      </c>
      <c r="H43" s="257">
        <v>0.54942300000000011</v>
      </c>
      <c r="I43" s="282"/>
      <c r="J43" s="35"/>
      <c r="K43" s="175">
        <v>25.932479999999998</v>
      </c>
    </row>
    <row r="44" spans="1:11" x14ac:dyDescent="0.25">
      <c r="A44" s="268"/>
      <c r="B44" s="105" t="s">
        <v>153</v>
      </c>
      <c r="C44" s="105" t="s">
        <v>1366</v>
      </c>
      <c r="D44" s="250">
        <v>0.17199999999999999</v>
      </c>
      <c r="E44" s="176" t="s">
        <v>297</v>
      </c>
      <c r="F44" s="257">
        <v>19.018999999999998</v>
      </c>
      <c r="G44" s="176" t="s">
        <v>155</v>
      </c>
      <c r="H44" s="257">
        <v>3.2712679999999996</v>
      </c>
      <c r="I44" s="282"/>
      <c r="J44" s="35"/>
      <c r="K44" s="175">
        <v>25.932479999999998</v>
      </c>
    </row>
    <row r="45" spans="1:11" ht="25.5" x14ac:dyDescent="0.25">
      <c r="A45" s="268"/>
      <c r="B45" s="105" t="s">
        <v>2634</v>
      </c>
      <c r="C45" s="105" t="s">
        <v>1691</v>
      </c>
      <c r="D45" s="250">
        <v>0.02</v>
      </c>
      <c r="E45" s="176" t="s">
        <v>297</v>
      </c>
      <c r="F45" s="257">
        <v>16.976500000000001</v>
      </c>
      <c r="G45" s="176" t="s">
        <v>2095</v>
      </c>
      <c r="H45" s="257">
        <v>0.33953000000000005</v>
      </c>
      <c r="I45" s="282"/>
      <c r="J45" s="35"/>
      <c r="K45" s="175">
        <v>25.932479999999998</v>
      </c>
    </row>
    <row r="46" spans="1:11" ht="25.5" x14ac:dyDescent="0.25">
      <c r="A46" s="268"/>
      <c r="B46" s="105" t="s">
        <v>2635</v>
      </c>
      <c r="C46" s="105" t="s">
        <v>1694</v>
      </c>
      <c r="D46" s="250">
        <v>1.4E-2</v>
      </c>
      <c r="E46" s="176" t="s">
        <v>297</v>
      </c>
      <c r="F46" s="257">
        <v>15.123999999999999</v>
      </c>
      <c r="G46" s="176" t="s">
        <v>2097</v>
      </c>
      <c r="H46" s="258">
        <v>0.21173599999999998</v>
      </c>
      <c r="I46" s="282"/>
      <c r="J46" s="35"/>
      <c r="K46" s="175">
        <v>25.932479999999998</v>
      </c>
    </row>
    <row r="47" spans="1:11" ht="15.75" thickBot="1" x14ac:dyDescent="0.3">
      <c r="A47" s="268"/>
      <c r="B47" s="105" t="s">
        <v>1079</v>
      </c>
      <c r="C47" s="105"/>
      <c r="D47" s="251"/>
      <c r="E47" s="176"/>
      <c r="F47" s="257" t="s">
        <v>1079</v>
      </c>
      <c r="G47" s="176"/>
      <c r="H47" s="257" t="s">
        <v>1079</v>
      </c>
      <c r="I47" s="281"/>
      <c r="J47" s="19"/>
      <c r="K47" s="175">
        <v>25.932479999999998</v>
      </c>
    </row>
    <row r="48" spans="1:11" ht="26.25" customHeight="1" thickBot="1" x14ac:dyDescent="0.3">
      <c r="A48" s="273" t="s">
        <v>326</v>
      </c>
      <c r="B48" s="274" t="s">
        <v>1079</v>
      </c>
      <c r="C48" s="265" t="s">
        <v>252</v>
      </c>
      <c r="D48" s="252"/>
      <c r="E48" s="259" t="s">
        <v>327</v>
      </c>
      <c r="F48" s="260" t="s">
        <v>1079</v>
      </c>
      <c r="G48" s="261"/>
      <c r="H48" s="260" t="s">
        <v>1079</v>
      </c>
      <c r="I48" s="280"/>
      <c r="J48" s="18"/>
      <c r="K48" s="175">
        <v>0.79889599999999994</v>
      </c>
    </row>
    <row r="49" spans="1:11" x14ac:dyDescent="0.25">
      <c r="A49" s="268"/>
      <c r="B49" s="155" t="s">
        <v>1079</v>
      </c>
      <c r="C49" s="155"/>
      <c r="D49" s="249"/>
      <c r="E49" s="256"/>
      <c r="F49" s="262" t="s">
        <v>1079</v>
      </c>
      <c r="G49" s="155"/>
      <c r="H49" s="257" t="s">
        <v>1079</v>
      </c>
      <c r="I49" s="281"/>
      <c r="J49" s="19"/>
      <c r="K49" s="175">
        <v>0.79889599999999994</v>
      </c>
    </row>
    <row r="50" spans="1:11" x14ac:dyDescent="0.25">
      <c r="A50" s="268"/>
      <c r="B50" s="105" t="s">
        <v>238</v>
      </c>
      <c r="C50" s="105" t="s">
        <v>252</v>
      </c>
      <c r="D50" s="250">
        <v>1.1599999999999999</v>
      </c>
      <c r="E50" s="176" t="s">
        <v>2638</v>
      </c>
      <c r="F50" s="258">
        <v>93.8125</v>
      </c>
      <c r="G50" s="176" t="s">
        <v>240</v>
      </c>
      <c r="H50" s="258">
        <v>108.82249999999999</v>
      </c>
      <c r="I50" s="282">
        <f>SUM(H50:H57)</f>
        <v>399.09002959999992</v>
      </c>
      <c r="J50" s="35"/>
      <c r="K50" s="175">
        <v>0.79889599999999994</v>
      </c>
    </row>
    <row r="51" spans="1:11" x14ac:dyDescent="0.25">
      <c r="A51" s="268"/>
      <c r="B51" s="105" t="s">
        <v>2639</v>
      </c>
      <c r="C51" s="105" t="s">
        <v>1629</v>
      </c>
      <c r="D51" s="250">
        <v>174.1</v>
      </c>
      <c r="E51" s="176" t="s">
        <v>2638</v>
      </c>
      <c r="F51" s="258">
        <v>0.71249999999999991</v>
      </c>
      <c r="G51" s="176" t="s">
        <v>2640</v>
      </c>
      <c r="H51" s="258">
        <v>124.04624999999999</v>
      </c>
      <c r="I51" s="282"/>
      <c r="J51" s="35"/>
      <c r="K51" s="175">
        <v>0.79889599999999994</v>
      </c>
    </row>
    <row r="52" spans="1:11" x14ac:dyDescent="0.25">
      <c r="A52" s="268"/>
      <c r="B52" s="105" t="s">
        <v>241</v>
      </c>
      <c r="C52" s="105" t="s">
        <v>1629</v>
      </c>
      <c r="D52" s="250">
        <v>195.86</v>
      </c>
      <c r="E52" s="176" t="s">
        <v>2638</v>
      </c>
      <c r="F52" s="258">
        <v>0.38</v>
      </c>
      <c r="G52" s="176" t="s">
        <v>242</v>
      </c>
      <c r="H52" s="258">
        <v>74.4268</v>
      </c>
      <c r="I52" s="282"/>
      <c r="J52" s="35"/>
      <c r="K52" s="175">
        <v>0.79889599999999994</v>
      </c>
    </row>
    <row r="53" spans="1:11" ht="25.5" x14ac:dyDescent="0.25">
      <c r="A53" s="268"/>
      <c r="B53" s="105" t="s">
        <v>245</v>
      </c>
      <c r="C53" s="105" t="s">
        <v>1366</v>
      </c>
      <c r="D53" s="250">
        <v>4.5</v>
      </c>
      <c r="E53" s="176" t="s">
        <v>2638</v>
      </c>
      <c r="F53" s="257">
        <v>14.411499999999998</v>
      </c>
      <c r="G53" s="176" t="s">
        <v>246</v>
      </c>
      <c r="H53" s="258">
        <v>64.851749999999996</v>
      </c>
      <c r="I53" s="282"/>
      <c r="J53" s="35"/>
      <c r="K53" s="175">
        <v>0.79889599999999994</v>
      </c>
    </row>
    <row r="54" spans="1:11" ht="38.25" x14ac:dyDescent="0.25">
      <c r="A54" s="268"/>
      <c r="B54" s="105" t="s">
        <v>2641</v>
      </c>
      <c r="C54" s="105" t="s">
        <v>1691</v>
      </c>
      <c r="D54" s="250">
        <v>1.05</v>
      </c>
      <c r="E54" s="176" t="s">
        <v>2638</v>
      </c>
      <c r="F54" s="257">
        <v>1.1684999999999999</v>
      </c>
      <c r="G54" s="176" t="s">
        <v>248</v>
      </c>
      <c r="H54" s="258">
        <v>1.2269249999999998</v>
      </c>
      <c r="I54" s="282"/>
      <c r="J54" s="35"/>
      <c r="K54" s="175">
        <v>0.79889599999999994</v>
      </c>
    </row>
    <row r="55" spans="1:11" ht="38.25" x14ac:dyDescent="0.25">
      <c r="A55" s="268"/>
      <c r="B55" s="105" t="s">
        <v>2642</v>
      </c>
      <c r="C55" s="105" t="s">
        <v>1694</v>
      </c>
      <c r="D55" s="250">
        <v>3.45</v>
      </c>
      <c r="E55" s="176" t="s">
        <v>2638</v>
      </c>
      <c r="F55" s="257">
        <v>0.247</v>
      </c>
      <c r="G55" s="176" t="s">
        <v>250</v>
      </c>
      <c r="H55" s="258">
        <v>0.85215000000000007</v>
      </c>
      <c r="I55" s="282"/>
      <c r="J55" s="35"/>
      <c r="K55" s="175">
        <v>0.79889599999999994</v>
      </c>
    </row>
    <row r="56" spans="1:11" ht="25.5" x14ac:dyDescent="0.25">
      <c r="A56" s="268"/>
      <c r="B56" s="105" t="s">
        <v>251</v>
      </c>
      <c r="C56" s="105" t="s">
        <v>252</v>
      </c>
      <c r="D56" s="250">
        <f>ROUND(1*D50,4)</f>
        <v>1.1599999999999999</v>
      </c>
      <c r="E56" s="176" t="s">
        <v>17</v>
      </c>
      <c r="F56" s="257">
        <v>0.72471700000000006</v>
      </c>
      <c r="G56" s="176" t="s">
        <v>253</v>
      </c>
      <c r="H56" s="258">
        <v>0.84067172000000001</v>
      </c>
      <c r="I56" s="282"/>
      <c r="J56" s="35"/>
      <c r="K56" s="175">
        <v>0.79889599999999994</v>
      </c>
    </row>
    <row r="57" spans="1:11" ht="38.25" x14ac:dyDescent="0.25">
      <c r="A57" s="268"/>
      <c r="B57" s="105" t="s">
        <v>254</v>
      </c>
      <c r="C57" s="271" t="s">
        <v>255</v>
      </c>
      <c r="D57" s="250">
        <f>ROUND(D50*20,4)</f>
        <v>23.2</v>
      </c>
      <c r="E57" s="176" t="s">
        <v>17</v>
      </c>
      <c r="F57" s="257">
        <v>1.0354733999999999</v>
      </c>
      <c r="G57" s="176" t="s">
        <v>256</v>
      </c>
      <c r="H57" s="258">
        <v>24.022982879999997</v>
      </c>
      <c r="I57" s="282"/>
      <c r="J57" s="35"/>
      <c r="K57" s="175">
        <v>0.79889599999999994</v>
      </c>
    </row>
    <row r="58" spans="1:11" x14ac:dyDescent="0.25">
      <c r="A58" s="268"/>
      <c r="B58" s="225"/>
      <c r="C58" s="271"/>
      <c r="D58" s="250"/>
      <c r="E58" s="176"/>
      <c r="F58" s="257" t="s">
        <v>1079</v>
      </c>
      <c r="G58" s="176"/>
      <c r="H58" s="258" t="s">
        <v>1079</v>
      </c>
      <c r="I58" s="282"/>
      <c r="J58" s="35"/>
      <c r="K58" s="175">
        <v>0.79889599999999994</v>
      </c>
    </row>
    <row r="59" spans="1:11" x14ac:dyDescent="0.25">
      <c r="A59" s="268"/>
      <c r="B59" s="2" t="s">
        <v>1459</v>
      </c>
      <c r="C59" s="271"/>
      <c r="D59" s="250"/>
      <c r="E59" s="176"/>
      <c r="F59" s="257" t="s">
        <v>1079</v>
      </c>
      <c r="G59" s="176"/>
      <c r="H59" s="258" t="s">
        <v>1079</v>
      </c>
      <c r="I59" s="282"/>
      <c r="J59" s="35"/>
      <c r="K59" s="175">
        <v>0.79889599999999994</v>
      </c>
    </row>
    <row r="60" spans="1:11" ht="15.75" thickBot="1" x14ac:dyDescent="0.3">
      <c r="A60" s="268"/>
      <c r="B60" s="105" t="s">
        <v>1079</v>
      </c>
      <c r="C60" s="105"/>
      <c r="D60" s="251"/>
      <c r="E60" s="176"/>
      <c r="F60" s="257" t="s">
        <v>1079</v>
      </c>
      <c r="G60" s="176"/>
      <c r="H60" s="257" t="s">
        <v>1079</v>
      </c>
      <c r="I60" s="281"/>
      <c r="J60" s="19"/>
      <c r="K60" s="175">
        <v>0.79889599999999994</v>
      </c>
    </row>
    <row r="61" spans="1:11" ht="26.25" hidden="1" customHeight="1" thickBot="1" x14ac:dyDescent="0.3">
      <c r="A61" s="188" t="s">
        <v>2692</v>
      </c>
      <c r="B61" s="30" t="s">
        <v>1079</v>
      </c>
      <c r="C61" s="13" t="s">
        <v>1795</v>
      </c>
      <c r="D61" s="87"/>
      <c r="E61" s="15" t="str">
        <f>E63</f>
        <v>Sinapi 87630</v>
      </c>
      <c r="F61" s="31" t="s">
        <v>1079</v>
      </c>
      <c r="G61" s="16"/>
      <c r="H61" s="31" t="s">
        <v>1079</v>
      </c>
      <c r="I61" s="17"/>
      <c r="J61" s="18"/>
      <c r="K61" s="175">
        <v>0</v>
      </c>
    </row>
    <row r="62" spans="1:11" ht="15.75" hidden="1" thickBot="1" x14ac:dyDescent="0.3">
      <c r="A62" s="185"/>
      <c r="B62" s="20" t="s">
        <v>1079</v>
      </c>
      <c r="C62" s="20"/>
      <c r="D62" s="85"/>
      <c r="E62" s="43"/>
      <c r="F62" s="91" t="s">
        <v>1079</v>
      </c>
      <c r="G62" s="20"/>
      <c r="H62" s="92" t="s">
        <v>1079</v>
      </c>
      <c r="I62" s="24"/>
      <c r="J62" s="19"/>
      <c r="K62" s="175">
        <v>0</v>
      </c>
    </row>
    <row r="63" spans="1:11" ht="15.75" hidden="1" thickBot="1" x14ac:dyDescent="0.3">
      <c r="A63" s="185"/>
      <c r="B63" s="25" t="s">
        <v>241</v>
      </c>
      <c r="C63" s="25" t="s">
        <v>1629</v>
      </c>
      <c r="D63" s="26">
        <v>0.5</v>
      </c>
      <c r="E63" s="27" t="s">
        <v>2490</v>
      </c>
      <c r="F63" s="23">
        <v>0.38</v>
      </c>
      <c r="G63" s="27" t="s">
        <v>242</v>
      </c>
      <c r="H63" s="23">
        <v>0.19</v>
      </c>
      <c r="I63" s="34">
        <f>SUM(H63:H67)</f>
        <v>31.227505594950003</v>
      </c>
      <c r="J63" s="35"/>
      <c r="K63" s="175">
        <v>0</v>
      </c>
    </row>
    <row r="64" spans="1:11" ht="15.75" hidden="1" thickBot="1" x14ac:dyDescent="0.3">
      <c r="A64" s="185"/>
      <c r="B64" s="25" t="s">
        <v>464</v>
      </c>
      <c r="C64" s="25" t="s">
        <v>208</v>
      </c>
      <c r="D64" s="26">
        <v>0.435</v>
      </c>
      <c r="E64" s="27" t="s">
        <v>2490</v>
      </c>
      <c r="F64" s="23">
        <v>11.399999999999999</v>
      </c>
      <c r="G64" s="27" t="s">
        <v>465</v>
      </c>
      <c r="H64" s="23">
        <v>4.9589999999999996</v>
      </c>
      <c r="I64" s="34"/>
      <c r="J64" s="35"/>
      <c r="K64" s="175">
        <v>0</v>
      </c>
    </row>
    <row r="65" spans="1:11" ht="39" hidden="1" thickBot="1" x14ac:dyDescent="0.3">
      <c r="A65" s="185"/>
      <c r="B65" s="25" t="s">
        <v>2492</v>
      </c>
      <c r="C65" s="25" t="s">
        <v>252</v>
      </c>
      <c r="D65" s="26">
        <v>4.3099999999999999E-2</v>
      </c>
      <c r="E65" s="27" t="s">
        <v>2490</v>
      </c>
      <c r="F65" s="19">
        <v>403.65871449999997</v>
      </c>
      <c r="G65" s="27" t="s">
        <v>2493</v>
      </c>
      <c r="H65" s="23">
        <v>17.397690594949999</v>
      </c>
      <c r="I65" s="34"/>
      <c r="J65" s="35"/>
      <c r="K65" s="175">
        <v>0</v>
      </c>
    </row>
    <row r="66" spans="1:11" ht="15.75" hidden="1" thickBot="1" x14ac:dyDescent="0.3">
      <c r="A66" s="185"/>
      <c r="B66" s="25" t="s">
        <v>2047</v>
      </c>
      <c r="C66" s="25" t="s">
        <v>1366</v>
      </c>
      <c r="D66" s="26">
        <v>0.33</v>
      </c>
      <c r="E66" s="27" t="s">
        <v>2490</v>
      </c>
      <c r="F66" s="19">
        <v>19.142499999999998</v>
      </c>
      <c r="G66" s="27" t="s">
        <v>37</v>
      </c>
      <c r="H66" s="23">
        <v>6.3170250000000001</v>
      </c>
      <c r="I66" s="34"/>
      <c r="J66" s="35"/>
      <c r="K66" s="175">
        <v>0</v>
      </c>
    </row>
    <row r="67" spans="1:11" ht="15.75" hidden="1" thickBot="1" x14ac:dyDescent="0.3">
      <c r="A67" s="185"/>
      <c r="B67" s="25" t="s">
        <v>2626</v>
      </c>
      <c r="C67" s="25" t="s">
        <v>1366</v>
      </c>
      <c r="D67" s="26">
        <v>0.16500000000000001</v>
      </c>
      <c r="E67" s="27" t="s">
        <v>2490</v>
      </c>
      <c r="F67" s="19">
        <v>14.325999999999999</v>
      </c>
      <c r="G67" s="27" t="s">
        <v>39</v>
      </c>
      <c r="H67" s="23">
        <v>2.3637899999999998</v>
      </c>
      <c r="I67" s="34"/>
      <c r="J67" s="35"/>
      <c r="K67" s="175">
        <v>0</v>
      </c>
    </row>
    <row r="68" spans="1:11" ht="15.75" hidden="1" thickBot="1" x14ac:dyDescent="0.3">
      <c r="A68" s="185"/>
      <c r="B68" s="25" t="s">
        <v>1079</v>
      </c>
      <c r="C68" s="25"/>
      <c r="D68" s="86"/>
      <c r="E68" s="27"/>
      <c r="F68" s="19" t="s">
        <v>1079</v>
      </c>
      <c r="G68" s="27"/>
      <c r="H68" s="19" t="s">
        <v>1079</v>
      </c>
      <c r="I68" s="24"/>
      <c r="J68" s="19"/>
      <c r="K68" s="175">
        <v>0</v>
      </c>
    </row>
    <row r="69" spans="1:11" ht="15.75" thickBot="1" x14ac:dyDescent="0.3">
      <c r="A69" s="273" t="s">
        <v>380</v>
      </c>
      <c r="B69" s="274" t="s">
        <v>1079</v>
      </c>
      <c r="C69" s="265" t="s">
        <v>252</v>
      </c>
      <c r="D69" s="252"/>
      <c r="E69" s="259" t="s">
        <v>382</v>
      </c>
      <c r="F69" s="260" t="s">
        <v>1079</v>
      </c>
      <c r="G69" s="261"/>
      <c r="H69" s="260" t="s">
        <v>1079</v>
      </c>
      <c r="I69" s="280"/>
      <c r="J69" s="18"/>
      <c r="K69" s="175">
        <v>0.37699199999999999</v>
      </c>
    </row>
    <row r="70" spans="1:11" x14ac:dyDescent="0.25">
      <c r="A70" s="268"/>
      <c r="B70" s="155" t="s">
        <v>1079</v>
      </c>
      <c r="C70" s="155"/>
      <c r="D70" s="249"/>
      <c r="E70" s="256"/>
      <c r="F70" s="262" t="s">
        <v>1079</v>
      </c>
      <c r="G70" s="155"/>
      <c r="H70" s="257" t="s">
        <v>1079</v>
      </c>
      <c r="I70" s="281"/>
      <c r="J70" s="19"/>
      <c r="K70" s="175">
        <v>0.37699199999999999</v>
      </c>
    </row>
    <row r="71" spans="1:11" ht="15.75" customHeight="1" x14ac:dyDescent="0.25">
      <c r="A71" s="268"/>
      <c r="B71" s="105" t="s">
        <v>2644</v>
      </c>
      <c r="C71" s="105" t="s">
        <v>252</v>
      </c>
      <c r="D71" s="250">
        <v>0.94</v>
      </c>
      <c r="E71" s="176" t="s">
        <v>2643</v>
      </c>
      <c r="F71" s="258">
        <v>100.8425</v>
      </c>
      <c r="G71" s="176" t="s">
        <v>2370</v>
      </c>
      <c r="H71" s="258">
        <v>94.79195</v>
      </c>
      <c r="I71" s="282">
        <f>SUM(H71:H75)</f>
        <v>433.4120039</v>
      </c>
      <c r="J71" s="35"/>
      <c r="K71" s="175">
        <v>0.37699199999999999</v>
      </c>
    </row>
    <row r="72" spans="1:11" x14ac:dyDescent="0.25">
      <c r="A72" s="268"/>
      <c r="B72" s="105" t="s">
        <v>241</v>
      </c>
      <c r="C72" s="105" t="s">
        <v>1629</v>
      </c>
      <c r="D72" s="250">
        <v>422.63</v>
      </c>
      <c r="E72" s="176" t="s">
        <v>2643</v>
      </c>
      <c r="F72" s="258">
        <v>0.38</v>
      </c>
      <c r="G72" s="176" t="s">
        <v>242</v>
      </c>
      <c r="H72" s="258">
        <v>160.5994</v>
      </c>
      <c r="I72" s="282"/>
      <c r="J72" s="35"/>
      <c r="K72" s="175">
        <v>0.37699199999999999</v>
      </c>
    </row>
    <row r="73" spans="1:11" x14ac:dyDescent="0.25">
      <c r="A73" s="268"/>
      <c r="B73" s="105" t="s">
        <v>2626</v>
      </c>
      <c r="C73" s="105" t="s">
        <v>1366</v>
      </c>
      <c r="D73" s="250">
        <v>11.02</v>
      </c>
      <c r="E73" s="176" t="s">
        <v>2643</v>
      </c>
      <c r="F73" s="257">
        <v>14.325999999999999</v>
      </c>
      <c r="G73" s="176" t="s">
        <v>39</v>
      </c>
      <c r="H73" s="258">
        <v>157.87251999999998</v>
      </c>
      <c r="I73" s="282"/>
      <c r="J73" s="35"/>
      <c r="K73" s="175">
        <v>0.37699199999999999</v>
      </c>
    </row>
    <row r="74" spans="1:11" ht="25.5" x14ac:dyDescent="0.25">
      <c r="A74" s="268"/>
      <c r="B74" s="105" t="s">
        <v>251</v>
      </c>
      <c r="C74" s="105" t="s">
        <v>252</v>
      </c>
      <c r="D74" s="250">
        <f>ROUND(1*D71,4)</f>
        <v>0.94</v>
      </c>
      <c r="E74" s="176" t="s">
        <v>17</v>
      </c>
      <c r="F74" s="257">
        <v>0.72471700000000006</v>
      </c>
      <c r="G74" s="176" t="s">
        <v>253</v>
      </c>
      <c r="H74" s="258">
        <v>0.68123398000000002</v>
      </c>
      <c r="I74" s="282"/>
      <c r="J74" s="35"/>
      <c r="K74" s="175">
        <v>0.37699199999999999</v>
      </c>
    </row>
    <row r="75" spans="1:11" ht="38.25" x14ac:dyDescent="0.25">
      <c r="A75" s="268"/>
      <c r="B75" s="105" t="s">
        <v>254</v>
      </c>
      <c r="C75" s="271" t="s">
        <v>255</v>
      </c>
      <c r="D75" s="250">
        <f>ROUND(D71*20,4)</f>
        <v>18.8</v>
      </c>
      <c r="E75" s="176" t="s">
        <v>17</v>
      </c>
      <c r="F75" s="257">
        <v>1.0354733999999999</v>
      </c>
      <c r="G75" s="176" t="s">
        <v>256</v>
      </c>
      <c r="H75" s="258">
        <v>19.466899919999999</v>
      </c>
      <c r="I75" s="282"/>
      <c r="J75" s="35"/>
      <c r="K75" s="175">
        <v>0.37699199999999999</v>
      </c>
    </row>
    <row r="76" spans="1:11" x14ac:dyDescent="0.25">
      <c r="A76" s="268"/>
      <c r="B76" s="225"/>
      <c r="C76" s="271"/>
      <c r="D76" s="250"/>
      <c r="E76" s="176"/>
      <c r="F76" s="257" t="s">
        <v>1079</v>
      </c>
      <c r="G76" s="176"/>
      <c r="H76" s="258" t="s">
        <v>1079</v>
      </c>
      <c r="I76" s="282"/>
      <c r="J76" s="35"/>
      <c r="K76" s="175">
        <v>0.37699199999999999</v>
      </c>
    </row>
    <row r="77" spans="1:11" x14ac:dyDescent="0.25">
      <c r="A77" s="268"/>
      <c r="B77" s="2" t="s">
        <v>1459</v>
      </c>
      <c r="C77" s="271"/>
      <c r="D77" s="250"/>
      <c r="E77" s="176"/>
      <c r="F77" s="257" t="s">
        <v>1079</v>
      </c>
      <c r="G77" s="176"/>
      <c r="H77" s="258" t="s">
        <v>1079</v>
      </c>
      <c r="I77" s="282"/>
      <c r="J77" s="35"/>
      <c r="K77" s="175">
        <v>0.37699199999999999</v>
      </c>
    </row>
    <row r="78" spans="1:11" ht="26.25" customHeight="1" thickBot="1" x14ac:dyDescent="0.3">
      <c r="A78" s="268"/>
      <c r="B78" s="105" t="s">
        <v>1079</v>
      </c>
      <c r="C78" s="105"/>
      <c r="D78" s="251"/>
      <c r="E78" s="176"/>
      <c r="F78" s="257" t="s">
        <v>1079</v>
      </c>
      <c r="G78" s="176"/>
      <c r="H78" s="257" t="s">
        <v>1079</v>
      </c>
      <c r="I78" s="281"/>
      <c r="J78" s="19"/>
      <c r="K78" s="175">
        <v>0.37699199999999999</v>
      </c>
    </row>
    <row r="79" spans="1:11" ht="15.75" hidden="1" thickBot="1" x14ac:dyDescent="0.3">
      <c r="A79" s="188" t="s">
        <v>376</v>
      </c>
      <c r="B79" s="30" t="s">
        <v>1079</v>
      </c>
      <c r="C79" s="13" t="s">
        <v>252</v>
      </c>
      <c r="D79" s="87"/>
      <c r="E79" s="15" t="str">
        <f>E81</f>
        <v>Sinapi 87396</v>
      </c>
      <c r="F79" s="31" t="s">
        <v>1079</v>
      </c>
      <c r="G79" s="16"/>
      <c r="H79" s="31" t="s">
        <v>1079</v>
      </c>
      <c r="I79" s="17"/>
      <c r="J79" s="18"/>
      <c r="K79" s="175">
        <v>0</v>
      </c>
    </row>
    <row r="80" spans="1:11" ht="15.75" hidden="1" thickBot="1" x14ac:dyDescent="0.3">
      <c r="A80" s="185"/>
      <c r="B80" s="20" t="s">
        <v>1079</v>
      </c>
      <c r="C80" s="20"/>
      <c r="D80" s="85"/>
      <c r="E80" s="43"/>
      <c r="F80" s="32" t="s">
        <v>1079</v>
      </c>
      <c r="G80" s="20"/>
      <c r="H80" s="19" t="s">
        <v>1079</v>
      </c>
      <c r="I80" s="24"/>
      <c r="J80" s="19"/>
      <c r="K80" s="175">
        <v>0</v>
      </c>
    </row>
    <row r="81" spans="1:11" ht="15.75" hidden="1" thickBot="1" x14ac:dyDescent="0.3">
      <c r="A81" s="185"/>
      <c r="B81" s="25" t="s">
        <v>2645</v>
      </c>
      <c r="C81" s="25" t="s">
        <v>1629</v>
      </c>
      <c r="D81" s="26">
        <v>1981.23</v>
      </c>
      <c r="E81" s="27" t="s">
        <v>377</v>
      </c>
      <c r="F81" s="23">
        <v>1.2825</v>
      </c>
      <c r="G81" s="27" t="s">
        <v>2646</v>
      </c>
      <c r="H81" s="23">
        <v>2540.927475</v>
      </c>
      <c r="I81" s="34">
        <f>SUM(H81:H84)</f>
        <v>2614.9235450000001</v>
      </c>
      <c r="J81" s="35"/>
      <c r="K81" s="175">
        <v>0</v>
      </c>
    </row>
    <row r="82" spans="1:11" ht="26.25" hidden="1" thickBot="1" x14ac:dyDescent="0.3">
      <c r="A82" s="185"/>
      <c r="B82" s="25" t="s">
        <v>245</v>
      </c>
      <c r="C82" s="25" t="s">
        <v>1366</v>
      </c>
      <c r="D82" s="26">
        <v>4.72</v>
      </c>
      <c r="E82" s="27" t="s">
        <v>377</v>
      </c>
      <c r="F82" s="19">
        <v>14.411499999999998</v>
      </c>
      <c r="G82" s="27" t="s">
        <v>246</v>
      </c>
      <c r="H82" s="23">
        <v>68.022279999999995</v>
      </c>
      <c r="I82" s="34"/>
      <c r="J82" s="35"/>
      <c r="K82" s="175">
        <v>0</v>
      </c>
    </row>
    <row r="83" spans="1:11" ht="26.25" hidden="1" thickBot="1" x14ac:dyDescent="0.3">
      <c r="A83" s="185"/>
      <c r="B83" s="25" t="s">
        <v>2647</v>
      </c>
      <c r="C83" s="25" t="s">
        <v>1691</v>
      </c>
      <c r="D83" s="26">
        <v>1.1000000000000001</v>
      </c>
      <c r="E83" s="27" t="s">
        <v>377</v>
      </c>
      <c r="F83" s="19">
        <v>3.2109999999999999</v>
      </c>
      <c r="G83" s="27" t="s">
        <v>2648</v>
      </c>
      <c r="H83" s="88">
        <v>3.5321000000000002</v>
      </c>
      <c r="I83" s="34"/>
      <c r="J83" s="35"/>
      <c r="K83" s="175">
        <v>0</v>
      </c>
    </row>
    <row r="84" spans="1:11" ht="26.25" hidden="1" thickBot="1" x14ac:dyDescent="0.3">
      <c r="A84" s="185"/>
      <c r="B84" s="25" t="s">
        <v>2649</v>
      </c>
      <c r="C84" s="25" t="s">
        <v>1694</v>
      </c>
      <c r="D84" s="26">
        <v>3.62</v>
      </c>
      <c r="E84" s="27" t="s">
        <v>377</v>
      </c>
      <c r="F84" s="19">
        <v>0.67449999999999999</v>
      </c>
      <c r="G84" s="27" t="s">
        <v>2650</v>
      </c>
      <c r="H84" s="88">
        <v>2.4416899999999999</v>
      </c>
      <c r="I84" s="34"/>
      <c r="J84" s="35"/>
      <c r="K84" s="175">
        <v>0</v>
      </c>
    </row>
    <row r="85" spans="1:11" ht="15.75" hidden="1" thickBot="1" x14ac:dyDescent="0.3">
      <c r="A85" s="185"/>
      <c r="B85" s="25" t="s">
        <v>1079</v>
      </c>
      <c r="C85" s="25"/>
      <c r="D85" s="86"/>
      <c r="E85" s="27"/>
      <c r="F85" s="19" t="s">
        <v>1079</v>
      </c>
      <c r="G85" s="27"/>
      <c r="H85" s="19" t="s">
        <v>1079</v>
      </c>
      <c r="I85" s="24"/>
      <c r="J85" s="19"/>
      <c r="K85" s="175">
        <v>0</v>
      </c>
    </row>
    <row r="86" spans="1:11" ht="15.75" thickBot="1" x14ac:dyDescent="0.3">
      <c r="A86" s="273" t="s">
        <v>461</v>
      </c>
      <c r="B86" s="274" t="s">
        <v>1079</v>
      </c>
      <c r="C86" s="265" t="s">
        <v>252</v>
      </c>
      <c r="D86" s="252"/>
      <c r="E86" s="259" t="s">
        <v>463</v>
      </c>
      <c r="F86" s="260" t="s">
        <v>1079</v>
      </c>
      <c r="G86" s="261"/>
      <c r="H86" s="260" t="s">
        <v>1079</v>
      </c>
      <c r="I86" s="280"/>
      <c r="J86" s="18"/>
      <c r="K86" s="175">
        <v>1.6752400000000001</v>
      </c>
    </row>
    <row r="87" spans="1:11" x14ac:dyDescent="0.25">
      <c r="A87" s="268"/>
      <c r="B87" s="155" t="s">
        <v>1079</v>
      </c>
      <c r="C87" s="155"/>
      <c r="D87" s="249"/>
      <c r="E87" s="256"/>
      <c r="F87" s="262" t="s">
        <v>1079</v>
      </c>
      <c r="G87" s="155"/>
      <c r="H87" s="257" t="s">
        <v>1079</v>
      </c>
      <c r="I87" s="281"/>
      <c r="J87" s="19"/>
      <c r="K87" s="175">
        <v>1.6752400000000001</v>
      </c>
    </row>
    <row r="88" spans="1:11" ht="26.25" customHeight="1" x14ac:dyDescent="0.25">
      <c r="A88" s="268"/>
      <c r="B88" s="105" t="s">
        <v>238</v>
      </c>
      <c r="C88" s="105" t="s">
        <v>252</v>
      </c>
      <c r="D88" s="250">
        <v>1.35</v>
      </c>
      <c r="E88" s="176" t="s">
        <v>2651</v>
      </c>
      <c r="F88" s="258">
        <v>93.8125</v>
      </c>
      <c r="G88" s="176" t="s">
        <v>240</v>
      </c>
      <c r="H88" s="258">
        <v>126.64687500000001</v>
      </c>
      <c r="I88" s="282">
        <f>SUM(H88:H92)</f>
        <v>486.19594474999997</v>
      </c>
      <c r="J88" s="35"/>
      <c r="K88" s="175">
        <v>1.6752400000000001</v>
      </c>
    </row>
    <row r="89" spans="1:11" x14ac:dyDescent="0.25">
      <c r="A89" s="268"/>
      <c r="B89" s="105" t="s">
        <v>241</v>
      </c>
      <c r="C89" s="105" t="s">
        <v>1629</v>
      </c>
      <c r="D89" s="250">
        <v>454.58</v>
      </c>
      <c r="E89" s="176" t="s">
        <v>2651</v>
      </c>
      <c r="F89" s="258">
        <v>0.38</v>
      </c>
      <c r="G89" s="176" t="s">
        <v>242</v>
      </c>
      <c r="H89" s="258">
        <v>172.74039999999999</v>
      </c>
      <c r="I89" s="282"/>
      <c r="J89" s="35"/>
      <c r="K89" s="175">
        <v>1.6752400000000001</v>
      </c>
    </row>
    <row r="90" spans="1:11" x14ac:dyDescent="0.25">
      <c r="A90" s="268"/>
      <c r="B90" s="105" t="s">
        <v>2626</v>
      </c>
      <c r="C90" s="105" t="s">
        <v>1366</v>
      </c>
      <c r="D90" s="250">
        <v>11.02</v>
      </c>
      <c r="E90" s="176" t="s">
        <v>2651</v>
      </c>
      <c r="F90" s="257">
        <v>14.325999999999999</v>
      </c>
      <c r="G90" s="176" t="s">
        <v>39</v>
      </c>
      <c r="H90" s="258">
        <v>157.87251999999998</v>
      </c>
      <c r="I90" s="282"/>
      <c r="J90" s="35"/>
      <c r="K90" s="175">
        <v>1.6752400000000001</v>
      </c>
    </row>
    <row r="91" spans="1:11" ht="25.5" x14ac:dyDescent="0.25">
      <c r="A91" s="268"/>
      <c r="B91" s="105" t="s">
        <v>251</v>
      </c>
      <c r="C91" s="105" t="s">
        <v>252</v>
      </c>
      <c r="D91" s="250">
        <f>ROUND(1*D88,4)</f>
        <v>1.35</v>
      </c>
      <c r="E91" s="176" t="s">
        <v>17</v>
      </c>
      <c r="F91" s="257">
        <v>0.72471700000000006</v>
      </c>
      <c r="G91" s="176" t="s">
        <v>253</v>
      </c>
      <c r="H91" s="258">
        <v>0.9783679500000001</v>
      </c>
      <c r="I91" s="282"/>
      <c r="J91" s="35"/>
      <c r="K91" s="175">
        <v>1.6752400000000001</v>
      </c>
    </row>
    <row r="92" spans="1:11" ht="38.25" x14ac:dyDescent="0.25">
      <c r="A92" s="268"/>
      <c r="B92" s="105" t="s">
        <v>254</v>
      </c>
      <c r="C92" s="271" t="s">
        <v>255</v>
      </c>
      <c r="D92" s="250">
        <f>ROUND(D88*20,4)</f>
        <v>27</v>
      </c>
      <c r="E92" s="176" t="s">
        <v>17</v>
      </c>
      <c r="F92" s="257">
        <v>1.0354733999999999</v>
      </c>
      <c r="G92" s="176" t="s">
        <v>256</v>
      </c>
      <c r="H92" s="258">
        <v>27.957781799999996</v>
      </c>
      <c r="I92" s="282"/>
      <c r="J92" s="35"/>
      <c r="K92" s="175">
        <v>1.6752400000000001</v>
      </c>
    </row>
    <row r="93" spans="1:11" x14ac:dyDescent="0.25">
      <c r="A93" s="268"/>
      <c r="B93" s="225"/>
      <c r="C93" s="271"/>
      <c r="D93" s="250"/>
      <c r="E93" s="176"/>
      <c r="F93" s="257" t="s">
        <v>1079</v>
      </c>
      <c r="G93" s="176"/>
      <c r="H93" s="258" t="s">
        <v>1079</v>
      </c>
      <c r="I93" s="282"/>
      <c r="J93" s="35"/>
      <c r="K93" s="175">
        <v>1.6752400000000001</v>
      </c>
    </row>
    <row r="94" spans="1:11" x14ac:dyDescent="0.25">
      <c r="A94" s="268"/>
      <c r="B94" s="2" t="s">
        <v>1459</v>
      </c>
      <c r="C94" s="271"/>
      <c r="D94" s="250"/>
      <c r="E94" s="176"/>
      <c r="F94" s="257" t="s">
        <v>1079</v>
      </c>
      <c r="G94" s="176"/>
      <c r="H94" s="258" t="s">
        <v>1079</v>
      </c>
      <c r="I94" s="282"/>
      <c r="J94" s="35"/>
      <c r="K94" s="175">
        <v>1.6752400000000001</v>
      </c>
    </row>
    <row r="95" spans="1:11" ht="15.75" thickBot="1" x14ac:dyDescent="0.3">
      <c r="A95" s="268"/>
      <c r="B95" s="105" t="s">
        <v>1079</v>
      </c>
      <c r="C95" s="105"/>
      <c r="D95" s="251"/>
      <c r="E95" s="176"/>
      <c r="F95" s="257" t="s">
        <v>1079</v>
      </c>
      <c r="G95" s="176"/>
      <c r="H95" s="257" t="s">
        <v>1079</v>
      </c>
      <c r="I95" s="281"/>
      <c r="J95" s="19"/>
      <c r="K95" s="175">
        <v>1.6752400000000001</v>
      </c>
    </row>
    <row r="96" spans="1:11" ht="15.75" thickBot="1" x14ac:dyDescent="0.3">
      <c r="A96" s="273" t="s">
        <v>532</v>
      </c>
      <c r="B96" s="274" t="s">
        <v>1079</v>
      </c>
      <c r="C96" s="265" t="s">
        <v>252</v>
      </c>
      <c r="D96" s="252"/>
      <c r="E96" s="259" t="s">
        <v>533</v>
      </c>
      <c r="F96" s="260" t="s">
        <v>1079</v>
      </c>
      <c r="G96" s="261"/>
      <c r="H96" s="260" t="s">
        <v>1079</v>
      </c>
      <c r="I96" s="280"/>
      <c r="J96" s="18"/>
      <c r="K96" s="175">
        <v>2.0195999999999999E-2</v>
      </c>
    </row>
    <row r="97" spans="1:11" x14ac:dyDescent="0.25">
      <c r="A97" s="268"/>
      <c r="B97" s="155" t="s">
        <v>1079</v>
      </c>
      <c r="C97" s="155"/>
      <c r="D97" s="249"/>
      <c r="E97" s="256"/>
      <c r="F97" s="262" t="s">
        <v>1079</v>
      </c>
      <c r="G97" s="155"/>
      <c r="H97" s="257" t="s">
        <v>1079</v>
      </c>
      <c r="I97" s="281"/>
      <c r="J97" s="19"/>
      <c r="K97" s="175">
        <v>2.0195999999999999E-2</v>
      </c>
    </row>
    <row r="98" spans="1:11" ht="15.75" customHeight="1" x14ac:dyDescent="0.25">
      <c r="A98" s="268"/>
      <c r="B98" s="105" t="s">
        <v>238</v>
      </c>
      <c r="C98" s="105" t="s">
        <v>252</v>
      </c>
      <c r="D98" s="250">
        <v>1.1499999999999999</v>
      </c>
      <c r="E98" s="176" t="s">
        <v>2652</v>
      </c>
      <c r="F98" s="258">
        <v>93.8125</v>
      </c>
      <c r="G98" s="176" t="s">
        <v>240</v>
      </c>
      <c r="H98" s="258">
        <v>107.88437499999999</v>
      </c>
      <c r="I98" s="282">
        <f>SUM(H98:H102)</f>
        <v>399.32142775</v>
      </c>
      <c r="J98" s="35"/>
      <c r="K98" s="175">
        <v>2.0195999999999999E-2</v>
      </c>
    </row>
    <row r="99" spans="1:11" x14ac:dyDescent="0.25">
      <c r="A99" s="268"/>
      <c r="B99" s="105" t="s">
        <v>241</v>
      </c>
      <c r="C99" s="105" t="s">
        <v>1629</v>
      </c>
      <c r="D99" s="250">
        <v>389.54</v>
      </c>
      <c r="E99" s="176" t="s">
        <v>2652</v>
      </c>
      <c r="F99" s="258">
        <v>0.38</v>
      </c>
      <c r="G99" s="176" t="s">
        <v>242</v>
      </c>
      <c r="H99" s="258">
        <v>148.02520000000001</v>
      </c>
      <c r="I99" s="282"/>
      <c r="J99" s="35"/>
      <c r="K99" s="175">
        <v>2.0195999999999999E-2</v>
      </c>
    </row>
    <row r="100" spans="1:11" x14ac:dyDescent="0.25">
      <c r="A100" s="268"/>
      <c r="B100" s="105" t="s">
        <v>2626</v>
      </c>
      <c r="C100" s="105" t="s">
        <v>1366</v>
      </c>
      <c r="D100" s="250">
        <v>8.2899999999999991</v>
      </c>
      <c r="E100" s="176" t="s">
        <v>2652</v>
      </c>
      <c r="F100" s="257">
        <v>14.325999999999999</v>
      </c>
      <c r="G100" s="176" t="s">
        <v>39</v>
      </c>
      <c r="H100" s="258">
        <v>118.76253999999997</v>
      </c>
      <c r="I100" s="282"/>
      <c r="J100" s="35"/>
      <c r="K100" s="175">
        <v>2.0195999999999999E-2</v>
      </c>
    </row>
    <row r="101" spans="1:11" ht="25.5" x14ac:dyDescent="0.25">
      <c r="A101" s="268"/>
      <c r="B101" s="105" t="s">
        <v>251</v>
      </c>
      <c r="C101" s="105" t="s">
        <v>252</v>
      </c>
      <c r="D101" s="250">
        <f>ROUND(1*D98,4)</f>
        <v>1.1499999999999999</v>
      </c>
      <c r="E101" s="176" t="s">
        <v>17</v>
      </c>
      <c r="F101" s="257">
        <v>0.72471700000000006</v>
      </c>
      <c r="G101" s="176" t="s">
        <v>253</v>
      </c>
      <c r="H101" s="258">
        <v>0.83342455000000004</v>
      </c>
      <c r="I101" s="282"/>
      <c r="J101" s="35"/>
      <c r="K101" s="175">
        <v>2.0195999999999999E-2</v>
      </c>
    </row>
    <row r="102" spans="1:11" ht="38.25" x14ac:dyDescent="0.25">
      <c r="A102" s="268"/>
      <c r="B102" s="105" t="s">
        <v>254</v>
      </c>
      <c r="C102" s="271" t="s">
        <v>255</v>
      </c>
      <c r="D102" s="250">
        <f>ROUND(D98*20,4)</f>
        <v>23</v>
      </c>
      <c r="E102" s="176" t="s">
        <v>17</v>
      </c>
      <c r="F102" s="257">
        <v>1.0354733999999999</v>
      </c>
      <c r="G102" s="176" t="s">
        <v>256</v>
      </c>
      <c r="H102" s="258">
        <v>23.815888199999996</v>
      </c>
      <c r="I102" s="282"/>
      <c r="J102" s="35"/>
      <c r="K102" s="175">
        <v>2.0195999999999999E-2</v>
      </c>
    </row>
    <row r="103" spans="1:11" x14ac:dyDescent="0.25">
      <c r="A103" s="268"/>
      <c r="B103" s="225"/>
      <c r="C103" s="271"/>
      <c r="D103" s="250"/>
      <c r="E103" s="176"/>
      <c r="F103" s="257" t="s">
        <v>1079</v>
      </c>
      <c r="G103" s="176"/>
      <c r="H103" s="258" t="s">
        <v>1079</v>
      </c>
      <c r="I103" s="282"/>
      <c r="J103" s="35"/>
      <c r="K103" s="175">
        <v>2.0195999999999999E-2</v>
      </c>
    </row>
    <row r="104" spans="1:11" ht="15.75" customHeight="1" x14ac:dyDescent="0.25">
      <c r="A104" s="268"/>
      <c r="B104" s="2" t="s">
        <v>1459</v>
      </c>
      <c r="C104" s="271"/>
      <c r="D104" s="250"/>
      <c r="E104" s="176"/>
      <c r="F104" s="257" t="s">
        <v>1079</v>
      </c>
      <c r="G104" s="176"/>
      <c r="H104" s="258" t="s">
        <v>1079</v>
      </c>
      <c r="I104" s="282"/>
      <c r="J104" s="35"/>
      <c r="K104" s="175">
        <v>2.0195999999999999E-2</v>
      </c>
    </row>
    <row r="105" spans="1:11" ht="15.75" thickBot="1" x14ac:dyDescent="0.3">
      <c r="A105" s="268"/>
      <c r="B105" s="105" t="s">
        <v>1079</v>
      </c>
      <c r="C105" s="105"/>
      <c r="D105" s="251"/>
      <c r="E105" s="176"/>
      <c r="F105" s="257" t="s">
        <v>1079</v>
      </c>
      <c r="G105" s="176"/>
      <c r="H105" s="257" t="s">
        <v>1079</v>
      </c>
      <c r="I105" s="281"/>
      <c r="J105" s="19"/>
      <c r="K105" s="175">
        <v>2.0195999999999999E-2</v>
      </c>
    </row>
    <row r="106" spans="1:11" ht="15.75" thickBot="1" x14ac:dyDescent="0.3">
      <c r="A106" s="273" t="s">
        <v>966</v>
      </c>
      <c r="B106" s="274" t="s">
        <v>1079</v>
      </c>
      <c r="C106" s="265" t="s">
        <v>988</v>
      </c>
      <c r="D106" s="252"/>
      <c r="E106" s="259" t="str">
        <f>E108</f>
        <v>Sinapi 91173</v>
      </c>
      <c r="F106" s="260" t="s">
        <v>1079</v>
      </c>
      <c r="G106" s="261"/>
      <c r="H106" s="260" t="s">
        <v>1079</v>
      </c>
      <c r="I106" s="280"/>
      <c r="J106" s="18"/>
      <c r="K106" s="175">
        <v>222.48000000000002</v>
      </c>
    </row>
    <row r="107" spans="1:11" x14ac:dyDescent="0.25">
      <c r="A107" s="268"/>
      <c r="B107" s="155" t="s">
        <v>1079</v>
      </c>
      <c r="C107" s="155"/>
      <c r="D107" s="249"/>
      <c r="E107" s="256"/>
      <c r="F107" s="262" t="s">
        <v>1079</v>
      </c>
      <c r="G107" s="155"/>
      <c r="H107" s="257" t="s">
        <v>1079</v>
      </c>
      <c r="I107" s="281"/>
      <c r="J107" s="19"/>
      <c r="K107" s="175">
        <v>222.48000000000002</v>
      </c>
    </row>
    <row r="108" spans="1:11" ht="25.5" x14ac:dyDescent="0.25">
      <c r="A108" s="268"/>
      <c r="B108" s="105" t="s">
        <v>2628</v>
      </c>
      <c r="C108" s="105" t="s">
        <v>588</v>
      </c>
      <c r="D108" s="250">
        <v>0.33300000000000002</v>
      </c>
      <c r="E108" s="176" t="s">
        <v>967</v>
      </c>
      <c r="F108" s="258">
        <v>1.0355000000000001</v>
      </c>
      <c r="G108" s="176" t="s">
        <v>2629</v>
      </c>
      <c r="H108" s="258">
        <v>0.34482150000000006</v>
      </c>
      <c r="I108" s="282">
        <f>SUM(H108:H110)</f>
        <v>1.0747065</v>
      </c>
      <c r="J108" s="35"/>
      <c r="K108" s="175">
        <v>222.48000000000002</v>
      </c>
    </row>
    <row r="109" spans="1:11" ht="25.5" x14ac:dyDescent="0.25">
      <c r="A109" s="268"/>
      <c r="B109" s="105" t="s">
        <v>224</v>
      </c>
      <c r="C109" s="105" t="s">
        <v>1366</v>
      </c>
      <c r="D109" s="250">
        <v>5.0000000000000001E-3</v>
      </c>
      <c r="E109" s="176" t="s">
        <v>967</v>
      </c>
      <c r="F109" s="257">
        <v>14.772500000000001</v>
      </c>
      <c r="G109" s="176" t="s">
        <v>226</v>
      </c>
      <c r="H109" s="258">
        <v>7.3862500000000011E-2</v>
      </c>
      <c r="I109" s="282"/>
      <c r="J109" s="35"/>
      <c r="K109" s="175">
        <v>222.48000000000002</v>
      </c>
    </row>
    <row r="110" spans="1:11" ht="15.75" customHeight="1" x14ac:dyDescent="0.25">
      <c r="A110" s="268"/>
      <c r="B110" s="105" t="s">
        <v>2627</v>
      </c>
      <c r="C110" s="105" t="s">
        <v>1366</v>
      </c>
      <c r="D110" s="250">
        <v>3.5000000000000003E-2</v>
      </c>
      <c r="E110" s="176" t="s">
        <v>967</v>
      </c>
      <c r="F110" s="257">
        <v>18.743500000000001</v>
      </c>
      <c r="G110" s="176" t="s">
        <v>71</v>
      </c>
      <c r="H110" s="258">
        <v>0.65602250000000006</v>
      </c>
      <c r="I110" s="282"/>
      <c r="J110" s="35"/>
      <c r="K110" s="175">
        <v>222.48000000000002</v>
      </c>
    </row>
    <row r="111" spans="1:11" ht="15.75" thickBot="1" x14ac:dyDescent="0.3">
      <c r="A111" s="268"/>
      <c r="B111" s="105" t="s">
        <v>1079</v>
      </c>
      <c r="C111" s="105"/>
      <c r="D111" s="251"/>
      <c r="E111" s="176"/>
      <c r="F111" s="257" t="s">
        <v>1079</v>
      </c>
      <c r="G111" s="176"/>
      <c r="H111" s="257" t="s">
        <v>1079</v>
      </c>
      <c r="I111" s="281"/>
      <c r="J111" s="19"/>
      <c r="K111" s="175">
        <v>222.48000000000002</v>
      </c>
    </row>
    <row r="112" spans="1:11" ht="15.75" thickBot="1" x14ac:dyDescent="0.3">
      <c r="A112" s="273" t="s">
        <v>997</v>
      </c>
      <c r="B112" s="274" t="s">
        <v>1079</v>
      </c>
      <c r="C112" s="265" t="s">
        <v>588</v>
      </c>
      <c r="D112" s="252"/>
      <c r="E112" s="259" t="str">
        <f>E114</f>
        <v>Sinapi 95757</v>
      </c>
      <c r="F112" s="260" t="s">
        <v>1079</v>
      </c>
      <c r="G112" s="261"/>
      <c r="H112" s="260" t="s">
        <v>1079</v>
      </c>
      <c r="I112" s="280"/>
      <c r="J112" s="18"/>
      <c r="K112" s="175">
        <v>29.843682000000001</v>
      </c>
    </row>
    <row r="113" spans="1:11" x14ac:dyDescent="0.25">
      <c r="A113" s="268"/>
      <c r="B113" s="155" t="s">
        <v>1079</v>
      </c>
      <c r="C113" s="155"/>
      <c r="D113" s="249"/>
      <c r="E113" s="256"/>
      <c r="F113" s="262" t="s">
        <v>1079</v>
      </c>
      <c r="G113" s="155"/>
      <c r="H113" s="257" t="s">
        <v>1079</v>
      </c>
      <c r="I113" s="281"/>
      <c r="J113" s="19"/>
      <c r="K113" s="175">
        <v>29.843682000000001</v>
      </c>
    </row>
    <row r="114" spans="1:11" ht="25.5" x14ac:dyDescent="0.25">
      <c r="A114" s="268"/>
      <c r="B114" s="105" t="s">
        <v>2653</v>
      </c>
      <c r="C114" s="105" t="s">
        <v>588</v>
      </c>
      <c r="D114" s="250">
        <v>1</v>
      </c>
      <c r="E114" s="176" t="s">
        <v>998</v>
      </c>
      <c r="F114" s="258">
        <v>1.615</v>
      </c>
      <c r="G114" s="176" t="s">
        <v>2654</v>
      </c>
      <c r="H114" s="258">
        <v>1.615</v>
      </c>
      <c r="I114" s="282">
        <f>SUM(H114:H116)</f>
        <v>7.92408775</v>
      </c>
      <c r="J114" s="35"/>
      <c r="K114" s="175">
        <v>29.843682000000001</v>
      </c>
    </row>
    <row r="115" spans="1:11" x14ac:dyDescent="0.25">
      <c r="A115" s="268"/>
      <c r="B115" s="105" t="s">
        <v>144</v>
      </c>
      <c r="C115" s="105" t="s">
        <v>1366</v>
      </c>
      <c r="D115" s="250">
        <v>0.1827</v>
      </c>
      <c r="E115" s="176" t="s">
        <v>998</v>
      </c>
      <c r="F115" s="257">
        <v>15.218999999999999</v>
      </c>
      <c r="G115" s="176" t="s">
        <v>145</v>
      </c>
      <c r="H115" s="258">
        <v>2.7805113000000001</v>
      </c>
      <c r="I115" s="282"/>
      <c r="J115" s="35"/>
      <c r="K115" s="175">
        <v>29.843682000000001</v>
      </c>
    </row>
    <row r="116" spans="1:11" ht="15.75" customHeight="1" x14ac:dyDescent="0.25">
      <c r="A116" s="268"/>
      <c r="B116" s="105" t="s">
        <v>54</v>
      </c>
      <c r="C116" s="105" t="s">
        <v>1366</v>
      </c>
      <c r="D116" s="250">
        <v>0.1827</v>
      </c>
      <c r="E116" s="176" t="s">
        <v>998</v>
      </c>
      <c r="F116" s="257">
        <v>19.313499999999998</v>
      </c>
      <c r="G116" s="176" t="s">
        <v>55</v>
      </c>
      <c r="H116" s="258">
        <v>3.5285764499999996</v>
      </c>
      <c r="I116" s="282"/>
      <c r="J116" s="35"/>
      <c r="K116" s="175">
        <v>29.843682000000001</v>
      </c>
    </row>
    <row r="117" spans="1:11" ht="15.75" thickBot="1" x14ac:dyDescent="0.3">
      <c r="A117" s="268"/>
      <c r="B117" s="105" t="s">
        <v>1079</v>
      </c>
      <c r="C117" s="105"/>
      <c r="D117" s="251"/>
      <c r="E117" s="176"/>
      <c r="F117" s="257" t="s">
        <v>1079</v>
      </c>
      <c r="G117" s="176"/>
      <c r="H117" s="257" t="s">
        <v>1079</v>
      </c>
      <c r="I117" s="281"/>
      <c r="J117" s="19"/>
      <c r="K117" s="175">
        <v>29.843682000000001</v>
      </c>
    </row>
    <row r="118" spans="1:11" ht="15.75" thickBot="1" x14ac:dyDescent="0.3">
      <c r="A118" s="273" t="s">
        <v>982</v>
      </c>
      <c r="B118" s="274" t="s">
        <v>1079</v>
      </c>
      <c r="C118" s="265" t="s">
        <v>588</v>
      </c>
      <c r="D118" s="252"/>
      <c r="E118" s="259" t="str">
        <f>E120</f>
        <v>Sinapi 95758</v>
      </c>
      <c r="F118" s="260" t="s">
        <v>1079</v>
      </c>
      <c r="G118" s="261"/>
      <c r="H118" s="260" t="s">
        <v>1079</v>
      </c>
      <c r="I118" s="280"/>
      <c r="J118" s="18"/>
      <c r="K118" s="175">
        <v>5.5994400000000004</v>
      </c>
    </row>
    <row r="119" spans="1:11" x14ac:dyDescent="0.25">
      <c r="A119" s="268"/>
      <c r="B119" s="155" t="s">
        <v>1079</v>
      </c>
      <c r="C119" s="155"/>
      <c r="D119" s="249"/>
      <c r="E119" s="256"/>
      <c r="F119" s="262" t="s">
        <v>1079</v>
      </c>
      <c r="G119" s="155"/>
      <c r="H119" s="257" t="s">
        <v>1079</v>
      </c>
      <c r="I119" s="281"/>
      <c r="J119" s="19"/>
      <c r="K119" s="175">
        <v>5.5994400000000004</v>
      </c>
    </row>
    <row r="120" spans="1:11" ht="25.5" x14ac:dyDescent="0.25">
      <c r="A120" s="268"/>
      <c r="B120" s="105" t="s">
        <v>2655</v>
      </c>
      <c r="C120" s="105" t="s">
        <v>588</v>
      </c>
      <c r="D120" s="250">
        <v>1</v>
      </c>
      <c r="E120" s="176" t="s">
        <v>983</v>
      </c>
      <c r="F120" s="258">
        <v>1.881</v>
      </c>
      <c r="G120" s="176" t="s">
        <v>2656</v>
      </c>
      <c r="H120" s="258">
        <v>1.881</v>
      </c>
      <c r="I120" s="282">
        <f>SUM(H120:H122)</f>
        <v>8.90145725</v>
      </c>
      <c r="J120" s="35"/>
      <c r="K120" s="175">
        <v>5.5994400000000004</v>
      </c>
    </row>
    <row r="121" spans="1:11" x14ac:dyDescent="0.25">
      <c r="A121" s="268"/>
      <c r="B121" s="105" t="s">
        <v>144</v>
      </c>
      <c r="C121" s="105" t="s">
        <v>1366</v>
      </c>
      <c r="D121" s="250">
        <v>0.20330000000000001</v>
      </c>
      <c r="E121" s="176" t="s">
        <v>983</v>
      </c>
      <c r="F121" s="257">
        <v>15.218999999999999</v>
      </c>
      <c r="G121" s="176" t="s">
        <v>145</v>
      </c>
      <c r="H121" s="258">
        <v>3.0940227</v>
      </c>
      <c r="I121" s="282"/>
      <c r="J121" s="35"/>
      <c r="K121" s="175">
        <v>5.5994400000000004</v>
      </c>
    </row>
    <row r="122" spans="1:11" ht="15.75" customHeight="1" x14ac:dyDescent="0.25">
      <c r="A122" s="268"/>
      <c r="B122" s="105" t="s">
        <v>54</v>
      </c>
      <c r="C122" s="105" t="s">
        <v>1366</v>
      </c>
      <c r="D122" s="250">
        <v>0.20330000000000001</v>
      </c>
      <c r="E122" s="176" t="s">
        <v>983</v>
      </c>
      <c r="F122" s="257">
        <v>19.313499999999998</v>
      </c>
      <c r="G122" s="176" t="s">
        <v>55</v>
      </c>
      <c r="H122" s="258">
        <v>3.9264345499999997</v>
      </c>
      <c r="I122" s="282"/>
      <c r="J122" s="35"/>
      <c r="K122" s="175">
        <v>5.5994400000000004</v>
      </c>
    </row>
    <row r="123" spans="1:11" ht="15.75" thickBot="1" x14ac:dyDescent="0.3">
      <c r="A123" s="268"/>
      <c r="B123" s="105" t="s">
        <v>1079</v>
      </c>
      <c r="C123" s="105"/>
      <c r="D123" s="251"/>
      <c r="E123" s="176"/>
      <c r="F123" s="257" t="s">
        <v>1079</v>
      </c>
      <c r="G123" s="176"/>
      <c r="H123" s="257" t="s">
        <v>1079</v>
      </c>
      <c r="I123" s="281"/>
      <c r="J123" s="19"/>
      <c r="K123" s="175">
        <v>5.5994400000000004</v>
      </c>
    </row>
    <row r="124" spans="1:11" ht="15.75" hidden="1" thickBot="1" x14ac:dyDescent="0.3">
      <c r="A124" s="188" t="s">
        <v>975</v>
      </c>
      <c r="B124" s="30" t="s">
        <v>1079</v>
      </c>
      <c r="C124" s="13" t="s">
        <v>588</v>
      </c>
      <c r="D124" s="87"/>
      <c r="E124" s="15" t="str">
        <f>E126</f>
        <v>Sinapi 95759</v>
      </c>
      <c r="F124" s="31" t="s">
        <v>1079</v>
      </c>
      <c r="G124" s="16"/>
      <c r="H124" s="31" t="s">
        <v>1079</v>
      </c>
      <c r="I124" s="17"/>
      <c r="J124" s="18"/>
      <c r="K124" s="175">
        <v>0</v>
      </c>
    </row>
    <row r="125" spans="1:11" ht="15.75" hidden="1" thickBot="1" x14ac:dyDescent="0.3">
      <c r="A125" s="185"/>
      <c r="B125" s="20" t="s">
        <v>1079</v>
      </c>
      <c r="C125" s="20"/>
      <c r="D125" s="85"/>
      <c r="E125" s="43"/>
      <c r="F125" s="32" t="s">
        <v>1079</v>
      </c>
      <c r="G125" s="20"/>
      <c r="H125" s="19" t="s">
        <v>1079</v>
      </c>
      <c r="I125" s="24"/>
      <c r="J125" s="19"/>
      <c r="K125" s="175">
        <v>0</v>
      </c>
    </row>
    <row r="126" spans="1:11" ht="26.25" hidden="1" thickBot="1" x14ac:dyDescent="0.3">
      <c r="A126" s="185"/>
      <c r="B126" s="25" t="s">
        <v>2657</v>
      </c>
      <c r="C126" s="25" t="s">
        <v>588</v>
      </c>
      <c r="D126" s="26">
        <v>1</v>
      </c>
      <c r="E126" s="27" t="s">
        <v>976</v>
      </c>
      <c r="F126" s="23">
        <v>3.3344999999999998</v>
      </c>
      <c r="G126" s="27" t="s">
        <v>2658</v>
      </c>
      <c r="H126" s="23">
        <v>3.3344999999999998</v>
      </c>
      <c r="I126" s="34">
        <f>SUM(H126:H128)</f>
        <v>11.352946499999998</v>
      </c>
      <c r="J126" s="35"/>
      <c r="K126" s="175">
        <v>0</v>
      </c>
    </row>
    <row r="127" spans="1:11" ht="15.75" hidden="1" thickBot="1" x14ac:dyDescent="0.3">
      <c r="A127" s="185"/>
      <c r="B127" s="25" t="s">
        <v>144</v>
      </c>
      <c r="C127" s="25" t="s">
        <v>1366</v>
      </c>
      <c r="D127" s="26">
        <v>0.23219999999999999</v>
      </c>
      <c r="E127" s="27" t="s">
        <v>976</v>
      </c>
      <c r="F127" s="19">
        <v>15.218999999999999</v>
      </c>
      <c r="G127" s="27" t="s">
        <v>145</v>
      </c>
      <c r="H127" s="23">
        <v>3.5338517999999999</v>
      </c>
      <c r="I127" s="34"/>
      <c r="J127" s="35"/>
      <c r="K127" s="175">
        <v>0</v>
      </c>
    </row>
    <row r="128" spans="1:11" ht="15.75" hidden="1" customHeight="1" x14ac:dyDescent="0.3">
      <c r="A128" s="185"/>
      <c r="B128" s="25" t="s">
        <v>54</v>
      </c>
      <c r="C128" s="25" t="s">
        <v>1366</v>
      </c>
      <c r="D128" s="26">
        <v>0.23219999999999999</v>
      </c>
      <c r="E128" s="27" t="s">
        <v>976</v>
      </c>
      <c r="F128" s="19">
        <v>19.313499999999998</v>
      </c>
      <c r="G128" s="27" t="s">
        <v>55</v>
      </c>
      <c r="H128" s="23">
        <v>4.4845946999999988</v>
      </c>
      <c r="I128" s="34"/>
      <c r="J128" s="35"/>
      <c r="K128" s="175">
        <v>0</v>
      </c>
    </row>
    <row r="129" spans="1:11" ht="15.75" hidden="1" thickBot="1" x14ac:dyDescent="0.3">
      <c r="A129" s="185"/>
      <c r="B129" s="25" t="s">
        <v>1079</v>
      </c>
      <c r="C129" s="25"/>
      <c r="D129" s="86"/>
      <c r="E129" s="27"/>
      <c r="F129" s="19" t="s">
        <v>1079</v>
      </c>
      <c r="G129" s="27"/>
      <c r="H129" s="19" t="s">
        <v>1079</v>
      </c>
      <c r="I129" s="24"/>
      <c r="J129" s="19"/>
      <c r="K129" s="175">
        <v>0</v>
      </c>
    </row>
    <row r="130" spans="1:11" ht="15.75" thickBot="1" x14ac:dyDescent="0.3">
      <c r="A130" s="273" t="s">
        <v>968</v>
      </c>
      <c r="B130" s="274" t="s">
        <v>1079</v>
      </c>
      <c r="C130" s="265" t="s">
        <v>588</v>
      </c>
      <c r="D130" s="252"/>
      <c r="E130" s="259" t="s">
        <v>969</v>
      </c>
      <c r="F130" s="260" t="s">
        <v>1079</v>
      </c>
      <c r="G130" s="261"/>
      <c r="H130" s="260" t="s">
        <v>1079</v>
      </c>
      <c r="I130" s="280"/>
      <c r="J130" s="18"/>
      <c r="K130" s="175">
        <v>1.63317</v>
      </c>
    </row>
    <row r="131" spans="1:11" x14ac:dyDescent="0.25">
      <c r="A131" s="268"/>
      <c r="B131" s="155" t="s">
        <v>1079</v>
      </c>
      <c r="C131" s="155"/>
      <c r="D131" s="249"/>
      <c r="E131" s="256"/>
      <c r="F131" s="262" t="s">
        <v>1079</v>
      </c>
      <c r="G131" s="155"/>
      <c r="H131" s="257" t="s">
        <v>1079</v>
      </c>
      <c r="I131" s="281"/>
      <c r="J131" s="19"/>
      <c r="K131" s="175">
        <v>1.63317</v>
      </c>
    </row>
    <row r="132" spans="1:11" ht="25.5" x14ac:dyDescent="0.25">
      <c r="A132" s="268"/>
      <c r="B132" s="105" t="s">
        <v>2659</v>
      </c>
      <c r="C132" s="105" t="s">
        <v>588</v>
      </c>
      <c r="D132" s="250">
        <v>1</v>
      </c>
      <c r="E132" s="176" t="s">
        <v>969</v>
      </c>
      <c r="F132" s="258">
        <v>4.8259999999999996</v>
      </c>
      <c r="G132" s="176" t="s">
        <v>2660</v>
      </c>
      <c r="H132" s="258">
        <v>4.8259999999999996</v>
      </c>
      <c r="I132" s="282">
        <f>SUM(H132:H134)</f>
        <v>13.980565749999998</v>
      </c>
      <c r="J132" s="35"/>
      <c r="K132" s="175">
        <v>1.63317</v>
      </c>
    </row>
    <row r="133" spans="1:11" x14ac:dyDescent="0.25">
      <c r="A133" s="268"/>
      <c r="B133" s="105" t="s">
        <v>144</v>
      </c>
      <c r="C133" s="105" t="s">
        <v>1366</v>
      </c>
      <c r="D133" s="250">
        <v>0.2651</v>
      </c>
      <c r="E133" s="176" t="s">
        <v>969</v>
      </c>
      <c r="F133" s="257">
        <v>15.218999999999999</v>
      </c>
      <c r="G133" s="176" t="s">
        <v>145</v>
      </c>
      <c r="H133" s="258">
        <v>4.0345569000000001</v>
      </c>
      <c r="I133" s="282"/>
      <c r="J133" s="35"/>
      <c r="K133" s="175">
        <v>1.63317</v>
      </c>
    </row>
    <row r="134" spans="1:11" ht="15.75" customHeight="1" x14ac:dyDescent="0.25">
      <c r="A134" s="268"/>
      <c r="B134" s="105" t="s">
        <v>54</v>
      </c>
      <c r="C134" s="105" t="s">
        <v>1366</v>
      </c>
      <c r="D134" s="250">
        <v>0.2651</v>
      </c>
      <c r="E134" s="176" t="s">
        <v>969</v>
      </c>
      <c r="F134" s="257">
        <v>19.313499999999998</v>
      </c>
      <c r="G134" s="176" t="s">
        <v>55</v>
      </c>
      <c r="H134" s="258">
        <v>5.1200088499999996</v>
      </c>
      <c r="I134" s="282"/>
      <c r="J134" s="35"/>
      <c r="K134" s="175">
        <v>1.63317</v>
      </c>
    </row>
    <row r="135" spans="1:11" ht="15.75" thickBot="1" x14ac:dyDescent="0.3">
      <c r="A135" s="268"/>
      <c r="B135" s="105" t="s">
        <v>1079</v>
      </c>
      <c r="C135" s="105"/>
      <c r="D135" s="251"/>
      <c r="E135" s="176"/>
      <c r="F135" s="257" t="s">
        <v>1079</v>
      </c>
      <c r="G135" s="176"/>
      <c r="H135" s="257" t="s">
        <v>1079</v>
      </c>
      <c r="I135" s="281"/>
      <c r="J135" s="19"/>
      <c r="K135" s="175">
        <v>1.63317</v>
      </c>
    </row>
    <row r="136" spans="1:11" ht="15.75" hidden="1" thickBot="1" x14ac:dyDescent="0.3">
      <c r="A136" s="188" t="s">
        <v>990</v>
      </c>
      <c r="B136" s="30" t="s">
        <v>1079</v>
      </c>
      <c r="C136" s="13" t="s">
        <v>588</v>
      </c>
      <c r="D136" s="87"/>
      <c r="E136" s="15" t="s">
        <v>991</v>
      </c>
      <c r="F136" s="31" t="s">
        <v>1079</v>
      </c>
      <c r="G136" s="16"/>
      <c r="H136" s="31" t="s">
        <v>1079</v>
      </c>
      <c r="I136" s="17"/>
      <c r="J136" s="18"/>
      <c r="K136" s="175">
        <v>0</v>
      </c>
    </row>
    <row r="137" spans="1:11" ht="15.75" hidden="1" thickBot="1" x14ac:dyDescent="0.3">
      <c r="A137" s="185"/>
      <c r="B137" s="20" t="s">
        <v>1079</v>
      </c>
      <c r="C137" s="20"/>
      <c r="D137" s="85"/>
      <c r="E137" s="43"/>
      <c r="F137" s="32" t="s">
        <v>1079</v>
      </c>
      <c r="G137" s="20"/>
      <c r="H137" s="19" t="s">
        <v>1079</v>
      </c>
      <c r="I137" s="24"/>
      <c r="J137" s="19"/>
      <c r="K137" s="175">
        <v>0</v>
      </c>
    </row>
    <row r="138" spans="1:11" ht="26.25" hidden="1" thickBot="1" x14ac:dyDescent="0.3">
      <c r="A138" s="185"/>
      <c r="B138" s="25" t="s">
        <v>2661</v>
      </c>
      <c r="C138" s="25" t="s">
        <v>588</v>
      </c>
      <c r="D138" s="26">
        <v>1</v>
      </c>
      <c r="E138" s="27" t="s">
        <v>969</v>
      </c>
      <c r="F138" s="23">
        <v>6.7354999999999992</v>
      </c>
      <c r="G138" s="27" t="s">
        <v>2662</v>
      </c>
      <c r="H138" s="23">
        <v>6.7354999999999992</v>
      </c>
      <c r="I138" s="34">
        <f>SUM(H138:H140)</f>
        <v>15.89006575</v>
      </c>
      <c r="J138" s="35"/>
      <c r="K138" s="175">
        <v>0</v>
      </c>
    </row>
    <row r="139" spans="1:11" ht="15.75" hidden="1" thickBot="1" x14ac:dyDescent="0.3">
      <c r="A139" s="185"/>
      <c r="B139" s="25" t="s">
        <v>144</v>
      </c>
      <c r="C139" s="25" t="s">
        <v>1366</v>
      </c>
      <c r="D139" s="26">
        <v>0.2651</v>
      </c>
      <c r="E139" s="27" t="s">
        <v>969</v>
      </c>
      <c r="F139" s="19">
        <v>15.218999999999999</v>
      </c>
      <c r="G139" s="27" t="s">
        <v>145</v>
      </c>
      <c r="H139" s="23">
        <v>4.0345569000000001</v>
      </c>
      <c r="I139" s="34"/>
      <c r="J139" s="35"/>
      <c r="K139" s="175">
        <v>0</v>
      </c>
    </row>
    <row r="140" spans="1:11" ht="26.25" hidden="1" customHeight="1" x14ac:dyDescent="0.3">
      <c r="A140" s="185"/>
      <c r="B140" s="25" t="s">
        <v>54</v>
      </c>
      <c r="C140" s="25" t="s">
        <v>1366</v>
      </c>
      <c r="D140" s="26">
        <v>0.2651</v>
      </c>
      <c r="E140" s="27" t="s">
        <v>969</v>
      </c>
      <c r="F140" s="19">
        <v>19.313499999999998</v>
      </c>
      <c r="G140" s="27" t="s">
        <v>55</v>
      </c>
      <c r="H140" s="23">
        <v>5.1200088499999996</v>
      </c>
      <c r="I140" s="34"/>
      <c r="J140" s="35"/>
      <c r="K140" s="175">
        <v>0</v>
      </c>
    </row>
    <row r="141" spans="1:11" ht="15.75" hidden="1" thickBot="1" x14ac:dyDescent="0.3">
      <c r="A141" s="185"/>
      <c r="B141" s="25" t="s">
        <v>1079</v>
      </c>
      <c r="C141" s="25"/>
      <c r="D141" s="86"/>
      <c r="E141" s="27"/>
      <c r="F141" s="19" t="s">
        <v>1079</v>
      </c>
      <c r="G141" s="27"/>
      <c r="H141" s="19" t="s">
        <v>1079</v>
      </c>
      <c r="I141" s="24"/>
      <c r="J141" s="19"/>
      <c r="K141" s="175">
        <v>0</v>
      </c>
    </row>
    <row r="142" spans="1:11" ht="15.75" hidden="1" thickBot="1" x14ac:dyDescent="0.3">
      <c r="A142" s="188" t="s">
        <v>2693</v>
      </c>
      <c r="B142" s="30" t="s">
        <v>1079</v>
      </c>
      <c r="C142" s="13" t="s">
        <v>988</v>
      </c>
      <c r="D142" s="87"/>
      <c r="E142" s="15" t="str">
        <f>E144</f>
        <v>Sinapi 91174</v>
      </c>
      <c r="F142" s="31" t="s">
        <v>1079</v>
      </c>
      <c r="G142" s="16"/>
      <c r="H142" s="31" t="s">
        <v>1079</v>
      </c>
      <c r="I142" s="17"/>
      <c r="J142" s="18"/>
      <c r="K142" s="175">
        <v>0</v>
      </c>
    </row>
    <row r="143" spans="1:11" ht="15.75" hidden="1" thickBot="1" x14ac:dyDescent="0.3">
      <c r="A143" s="185"/>
      <c r="B143" s="20" t="s">
        <v>1079</v>
      </c>
      <c r="C143" s="20"/>
      <c r="D143" s="85"/>
      <c r="E143" s="43"/>
      <c r="F143" s="91" t="s">
        <v>1079</v>
      </c>
      <c r="G143" s="20"/>
      <c r="H143" s="92" t="s">
        <v>1079</v>
      </c>
      <c r="I143" s="24"/>
      <c r="J143" s="19"/>
      <c r="K143" s="175">
        <v>0</v>
      </c>
    </row>
    <row r="144" spans="1:11" ht="26.25" hidden="1" thickBot="1" x14ac:dyDescent="0.3">
      <c r="A144" s="185"/>
      <c r="B144" s="25" t="s">
        <v>2694</v>
      </c>
      <c r="C144" s="25" t="s">
        <v>588</v>
      </c>
      <c r="D144" s="26">
        <v>0.33300000000000002</v>
      </c>
      <c r="E144" s="27" t="s">
        <v>2664</v>
      </c>
      <c r="F144" s="23">
        <v>2.1280000000000001</v>
      </c>
      <c r="G144" s="27" t="s">
        <v>2695</v>
      </c>
      <c r="H144" s="23">
        <v>0.70862400000000003</v>
      </c>
      <c r="I144" s="34">
        <f>SUM(H144:H146)</f>
        <v>2.097391</v>
      </c>
      <c r="J144" s="35"/>
      <c r="K144" s="175">
        <v>0</v>
      </c>
    </row>
    <row r="145" spans="1:11" ht="26.25" hidden="1" thickBot="1" x14ac:dyDescent="0.3">
      <c r="A145" s="185"/>
      <c r="B145" s="25" t="s">
        <v>224</v>
      </c>
      <c r="C145" s="25" t="s">
        <v>1366</v>
      </c>
      <c r="D145" s="26">
        <v>8.9999999999999993E-3</v>
      </c>
      <c r="E145" s="27" t="s">
        <v>2664</v>
      </c>
      <c r="F145" s="19">
        <v>14.772500000000001</v>
      </c>
      <c r="G145" s="27" t="s">
        <v>226</v>
      </c>
      <c r="H145" s="23">
        <v>0.1329525</v>
      </c>
      <c r="I145" s="34"/>
      <c r="J145" s="35"/>
      <c r="K145" s="175">
        <v>0</v>
      </c>
    </row>
    <row r="146" spans="1:11" ht="15.75" hidden="1" thickBot="1" x14ac:dyDescent="0.3">
      <c r="A146" s="185"/>
      <c r="B146" s="25" t="s">
        <v>2627</v>
      </c>
      <c r="C146" s="25" t="s">
        <v>1366</v>
      </c>
      <c r="D146" s="26">
        <v>6.7000000000000004E-2</v>
      </c>
      <c r="E146" s="27" t="s">
        <v>2664</v>
      </c>
      <c r="F146" s="19">
        <v>18.743500000000001</v>
      </c>
      <c r="G146" s="27" t="s">
        <v>71</v>
      </c>
      <c r="H146" s="23">
        <v>1.2558145000000001</v>
      </c>
      <c r="I146" s="34"/>
      <c r="J146" s="35"/>
      <c r="K146" s="175">
        <v>0</v>
      </c>
    </row>
    <row r="147" spans="1:11" ht="15.75" hidden="1" thickBot="1" x14ac:dyDescent="0.3">
      <c r="A147" s="185"/>
      <c r="B147" s="25" t="s">
        <v>1079</v>
      </c>
      <c r="C147" s="25"/>
      <c r="D147" s="86"/>
      <c r="E147" s="27"/>
      <c r="F147" s="19" t="s">
        <v>1079</v>
      </c>
      <c r="G147" s="27"/>
      <c r="H147" s="19" t="s">
        <v>1079</v>
      </c>
      <c r="I147" s="24"/>
      <c r="J147" s="19"/>
      <c r="K147" s="175">
        <v>0</v>
      </c>
    </row>
    <row r="148" spans="1:11" ht="15.75" hidden="1" thickBot="1" x14ac:dyDescent="0.3">
      <c r="A148" s="188" t="s">
        <v>2663</v>
      </c>
      <c r="B148" s="30" t="s">
        <v>1079</v>
      </c>
      <c r="C148" s="13" t="s">
        <v>988</v>
      </c>
      <c r="D148" s="87"/>
      <c r="E148" s="15" t="s">
        <v>989</v>
      </c>
      <c r="F148" s="31" t="s">
        <v>1079</v>
      </c>
      <c r="G148" s="16"/>
      <c r="H148" s="31" t="s">
        <v>1079</v>
      </c>
      <c r="I148" s="17"/>
      <c r="J148" s="18"/>
      <c r="K148" s="175">
        <v>0</v>
      </c>
    </row>
    <row r="149" spans="1:11" ht="15.75" hidden="1" thickBot="1" x14ac:dyDescent="0.3">
      <c r="A149" s="185"/>
      <c r="B149" s="20" t="s">
        <v>1079</v>
      </c>
      <c r="C149" s="20"/>
      <c r="D149" s="85"/>
      <c r="E149" s="43"/>
      <c r="F149" s="32" t="s">
        <v>1079</v>
      </c>
      <c r="G149" s="20"/>
      <c r="H149" s="19" t="s">
        <v>1079</v>
      </c>
      <c r="I149" s="24"/>
      <c r="J149" s="19"/>
      <c r="K149" s="175">
        <v>0</v>
      </c>
    </row>
    <row r="150" spans="1:11" ht="26.25" hidden="1" thickBot="1" x14ac:dyDescent="0.3">
      <c r="A150" s="185"/>
      <c r="B150" s="25" t="s">
        <v>2665</v>
      </c>
      <c r="C150" s="25" t="s">
        <v>588</v>
      </c>
      <c r="D150" s="26">
        <v>0.33300000000000002</v>
      </c>
      <c r="E150" s="27" t="s">
        <v>2664</v>
      </c>
      <c r="F150" s="23">
        <v>2.3559999999999999</v>
      </c>
      <c r="G150" s="27" t="s">
        <v>2666</v>
      </c>
      <c r="H150" s="23">
        <v>0.78454800000000002</v>
      </c>
      <c r="I150" s="34">
        <f>SUM(H150:H152)</f>
        <v>2.1733150000000001</v>
      </c>
      <c r="J150" s="35"/>
      <c r="K150" s="175">
        <v>0</v>
      </c>
    </row>
    <row r="151" spans="1:11" ht="26.25" hidden="1" thickBot="1" x14ac:dyDescent="0.3">
      <c r="A151" s="185"/>
      <c r="B151" s="25" t="s">
        <v>224</v>
      </c>
      <c r="C151" s="25" t="s">
        <v>1366</v>
      </c>
      <c r="D151" s="26">
        <v>8.9999999999999993E-3</v>
      </c>
      <c r="E151" s="27" t="s">
        <v>2664</v>
      </c>
      <c r="F151" s="19">
        <v>14.772500000000001</v>
      </c>
      <c r="G151" s="27" t="s">
        <v>226</v>
      </c>
      <c r="H151" s="23">
        <v>0.1329525</v>
      </c>
      <c r="I151" s="34"/>
      <c r="J151" s="35"/>
      <c r="K151" s="175">
        <v>0</v>
      </c>
    </row>
    <row r="152" spans="1:11" ht="15.75" hidden="1" thickBot="1" x14ac:dyDescent="0.3">
      <c r="A152" s="185"/>
      <c r="B152" s="25" t="s">
        <v>2627</v>
      </c>
      <c r="C152" s="25" t="s">
        <v>1366</v>
      </c>
      <c r="D152" s="26">
        <v>6.7000000000000004E-2</v>
      </c>
      <c r="E152" s="27" t="s">
        <v>2664</v>
      </c>
      <c r="F152" s="19">
        <v>18.743500000000001</v>
      </c>
      <c r="G152" s="27" t="s">
        <v>71</v>
      </c>
      <c r="H152" s="23">
        <v>1.2558145000000001</v>
      </c>
      <c r="I152" s="34"/>
      <c r="J152" s="35"/>
      <c r="K152" s="175">
        <v>0</v>
      </c>
    </row>
    <row r="153" spans="1:11" ht="15.75" hidden="1" thickBot="1" x14ac:dyDescent="0.3">
      <c r="A153" s="185"/>
      <c r="B153" s="25" t="s">
        <v>1079</v>
      </c>
      <c r="C153" s="25"/>
      <c r="D153" s="86"/>
      <c r="E153" s="27"/>
      <c r="F153" s="19" t="s">
        <v>1079</v>
      </c>
      <c r="G153" s="27"/>
      <c r="H153" s="19" t="s">
        <v>1079</v>
      </c>
      <c r="I153" s="24"/>
      <c r="J153" s="19"/>
      <c r="K153" s="175">
        <v>0</v>
      </c>
    </row>
    <row r="154" spans="1:11" ht="26.25" customHeight="1" thickBot="1" x14ac:dyDescent="0.3">
      <c r="A154" s="273" t="s">
        <v>353</v>
      </c>
      <c r="B154" s="274" t="s">
        <v>1079</v>
      </c>
      <c r="C154" s="265" t="s">
        <v>252</v>
      </c>
      <c r="D154" s="252"/>
      <c r="E154" s="259" t="s">
        <v>354</v>
      </c>
      <c r="F154" s="260" t="s">
        <v>1079</v>
      </c>
      <c r="G154" s="261"/>
      <c r="H154" s="260" t="s">
        <v>1079</v>
      </c>
      <c r="I154" s="280"/>
      <c r="J154" s="18"/>
      <c r="K154" s="175">
        <v>0.13961999999999999</v>
      </c>
    </row>
    <row r="155" spans="1:11" x14ac:dyDescent="0.25">
      <c r="A155" s="268"/>
      <c r="B155" s="155" t="s">
        <v>1079</v>
      </c>
      <c r="C155" s="155"/>
      <c r="D155" s="249"/>
      <c r="E155" s="256"/>
      <c r="F155" s="262" t="s">
        <v>1079</v>
      </c>
      <c r="G155" s="155"/>
      <c r="H155" s="257" t="s">
        <v>1079</v>
      </c>
      <c r="I155" s="281"/>
      <c r="J155" s="19"/>
      <c r="K155" s="175">
        <v>0.13961999999999999</v>
      </c>
    </row>
    <row r="156" spans="1:11" x14ac:dyDescent="0.25">
      <c r="A156" s="268"/>
      <c r="B156" s="105" t="s">
        <v>238</v>
      </c>
      <c r="C156" s="105" t="s">
        <v>252</v>
      </c>
      <c r="D156" s="250">
        <v>1.18</v>
      </c>
      <c r="E156" s="176" t="s">
        <v>2667</v>
      </c>
      <c r="F156" s="258">
        <v>93.8125</v>
      </c>
      <c r="G156" s="176" t="s">
        <v>240</v>
      </c>
      <c r="H156" s="258">
        <v>110.69874999999999</v>
      </c>
      <c r="I156" s="282">
        <f>SUM(H156:H164)</f>
        <v>385.12592829999994</v>
      </c>
      <c r="J156" s="35"/>
      <c r="K156" s="175">
        <v>0.13961999999999999</v>
      </c>
    </row>
    <row r="157" spans="1:11" x14ac:dyDescent="0.25">
      <c r="A157" s="268"/>
      <c r="B157" s="105" t="s">
        <v>2639</v>
      </c>
      <c r="C157" s="105" t="s">
        <v>1629</v>
      </c>
      <c r="D157" s="250">
        <v>157.44</v>
      </c>
      <c r="E157" s="176" t="s">
        <v>2667</v>
      </c>
      <c r="F157" s="258">
        <v>0.71249999999999991</v>
      </c>
      <c r="G157" s="176" t="s">
        <v>2640</v>
      </c>
      <c r="H157" s="258">
        <v>112.17599999999999</v>
      </c>
      <c r="I157" s="282"/>
      <c r="J157" s="35"/>
      <c r="K157" s="175">
        <v>0.13961999999999999</v>
      </c>
    </row>
    <row r="158" spans="1:11" x14ac:dyDescent="0.25">
      <c r="A158" s="268"/>
      <c r="B158" s="105" t="s">
        <v>241</v>
      </c>
      <c r="C158" s="105" t="s">
        <v>1629</v>
      </c>
      <c r="D158" s="250">
        <v>177.12</v>
      </c>
      <c r="E158" s="176" t="s">
        <v>2667</v>
      </c>
      <c r="F158" s="258">
        <v>0.38</v>
      </c>
      <c r="G158" s="176" t="s">
        <v>242</v>
      </c>
      <c r="H158" s="258">
        <v>67.305599999999998</v>
      </c>
      <c r="I158" s="282"/>
      <c r="J158" s="35"/>
      <c r="K158" s="175">
        <v>0.13961999999999999</v>
      </c>
    </row>
    <row r="159" spans="1:11" x14ac:dyDescent="0.25">
      <c r="A159" s="268"/>
      <c r="B159" s="105" t="s">
        <v>2626</v>
      </c>
      <c r="C159" s="105" t="s">
        <v>1366</v>
      </c>
      <c r="D159" s="250">
        <v>0.79</v>
      </c>
      <c r="E159" s="176" t="s">
        <v>2667</v>
      </c>
      <c r="F159" s="257">
        <v>14.325999999999999</v>
      </c>
      <c r="G159" s="176" t="s">
        <v>39</v>
      </c>
      <c r="H159" s="258">
        <v>11.317539999999999</v>
      </c>
      <c r="I159" s="282"/>
      <c r="J159" s="35"/>
      <c r="K159" s="175">
        <v>0.13961999999999999</v>
      </c>
    </row>
    <row r="160" spans="1:11" ht="25.5" x14ac:dyDescent="0.25">
      <c r="A160" s="268"/>
      <c r="B160" s="105" t="s">
        <v>245</v>
      </c>
      <c r="C160" s="105" t="s">
        <v>1366</v>
      </c>
      <c r="D160" s="250">
        <v>3.65</v>
      </c>
      <c r="E160" s="176" t="s">
        <v>2667</v>
      </c>
      <c r="F160" s="257">
        <v>14.411499999999998</v>
      </c>
      <c r="G160" s="176" t="s">
        <v>246</v>
      </c>
      <c r="H160" s="258">
        <v>52.601974999999996</v>
      </c>
      <c r="I160" s="282"/>
      <c r="J160" s="35"/>
      <c r="K160" s="175">
        <v>0.13961999999999999</v>
      </c>
    </row>
    <row r="161" spans="1:11" ht="38.25" x14ac:dyDescent="0.25">
      <c r="A161" s="268"/>
      <c r="B161" s="105" t="s">
        <v>2668</v>
      </c>
      <c r="C161" s="105" t="s">
        <v>1691</v>
      </c>
      <c r="D161" s="250">
        <v>0.85</v>
      </c>
      <c r="E161" s="176" t="s">
        <v>2667</v>
      </c>
      <c r="F161" s="257">
        <v>3.3344999999999998</v>
      </c>
      <c r="G161" s="176" t="s">
        <v>2538</v>
      </c>
      <c r="H161" s="258">
        <v>2.8343249999999998</v>
      </c>
      <c r="I161" s="282"/>
      <c r="J161" s="35"/>
      <c r="K161" s="175">
        <v>0.13961999999999999</v>
      </c>
    </row>
    <row r="162" spans="1:11" ht="38.25" x14ac:dyDescent="0.25">
      <c r="A162" s="268"/>
      <c r="B162" s="105" t="s">
        <v>2669</v>
      </c>
      <c r="C162" s="105" t="s">
        <v>1694</v>
      </c>
      <c r="D162" s="250">
        <v>2.8</v>
      </c>
      <c r="E162" s="176" t="s">
        <v>2667</v>
      </c>
      <c r="F162" s="257">
        <v>1.0355000000000001</v>
      </c>
      <c r="G162" s="176" t="s">
        <v>2670</v>
      </c>
      <c r="H162" s="258">
        <v>2.8994</v>
      </c>
      <c r="I162" s="282"/>
      <c r="J162" s="35"/>
      <c r="K162" s="175">
        <v>0.13961999999999999</v>
      </c>
    </row>
    <row r="163" spans="1:11" ht="25.5" x14ac:dyDescent="0.25">
      <c r="A163" s="268"/>
      <c r="B163" s="105" t="s">
        <v>251</v>
      </c>
      <c r="C163" s="105" t="s">
        <v>252</v>
      </c>
      <c r="D163" s="250">
        <f>ROUND(1*D156,4)</f>
        <v>1.18</v>
      </c>
      <c r="E163" s="176" t="s">
        <v>17</v>
      </c>
      <c r="F163" s="257">
        <v>0.72471700000000006</v>
      </c>
      <c r="G163" s="176" t="s">
        <v>253</v>
      </c>
      <c r="H163" s="258">
        <v>0.85516606000000006</v>
      </c>
      <c r="I163" s="282"/>
      <c r="J163" s="35"/>
      <c r="K163" s="175">
        <v>0.13961999999999999</v>
      </c>
    </row>
    <row r="164" spans="1:11" ht="38.25" x14ac:dyDescent="0.25">
      <c r="A164" s="268"/>
      <c r="B164" s="105" t="s">
        <v>254</v>
      </c>
      <c r="C164" s="271" t="s">
        <v>255</v>
      </c>
      <c r="D164" s="250">
        <f>ROUND(D156*20,4)</f>
        <v>23.6</v>
      </c>
      <c r="E164" s="176" t="s">
        <v>17</v>
      </c>
      <c r="F164" s="257">
        <v>1.0354733999999999</v>
      </c>
      <c r="G164" s="176" t="s">
        <v>256</v>
      </c>
      <c r="H164" s="258">
        <v>24.437172239999999</v>
      </c>
      <c r="I164" s="282"/>
      <c r="J164" s="35"/>
      <c r="K164" s="175">
        <v>0.13961999999999999</v>
      </c>
    </row>
    <row r="165" spans="1:11" x14ac:dyDescent="0.25">
      <c r="A165" s="268"/>
      <c r="B165" s="225"/>
      <c r="C165" s="271"/>
      <c r="D165" s="250"/>
      <c r="E165" s="176"/>
      <c r="F165" s="257" t="s">
        <v>1079</v>
      </c>
      <c r="G165" s="176"/>
      <c r="H165" s="258" t="s">
        <v>1079</v>
      </c>
      <c r="I165" s="282"/>
      <c r="J165" s="35"/>
      <c r="K165" s="175">
        <v>0.13961999999999999</v>
      </c>
    </row>
    <row r="166" spans="1:11" ht="15.75" customHeight="1" x14ac:dyDescent="0.25">
      <c r="A166" s="268"/>
      <c r="B166" s="2" t="s">
        <v>1459</v>
      </c>
      <c r="C166" s="271"/>
      <c r="D166" s="250"/>
      <c r="E166" s="176"/>
      <c r="F166" s="257" t="s">
        <v>1079</v>
      </c>
      <c r="G166" s="176"/>
      <c r="H166" s="258" t="s">
        <v>1079</v>
      </c>
      <c r="I166" s="282"/>
      <c r="J166" s="35"/>
      <c r="K166" s="175">
        <v>0.13961999999999999</v>
      </c>
    </row>
    <row r="167" spans="1:11" ht="15.75" thickBot="1" x14ac:dyDescent="0.3">
      <c r="A167" s="268"/>
      <c r="B167" s="105"/>
      <c r="C167" s="105"/>
      <c r="D167" s="251"/>
      <c r="E167" s="176"/>
      <c r="F167" s="257" t="s">
        <v>1079</v>
      </c>
      <c r="G167" s="176"/>
      <c r="H167" s="257" t="s">
        <v>1079</v>
      </c>
      <c r="I167" s="281"/>
      <c r="J167" s="19"/>
      <c r="K167" s="175">
        <v>0.13961999999999999</v>
      </c>
    </row>
    <row r="168" spans="1:11" ht="15.75" hidden="1" thickBot="1" x14ac:dyDescent="0.3">
      <c r="A168" s="188" t="s">
        <v>2492</v>
      </c>
      <c r="B168" s="30" t="s">
        <v>1079</v>
      </c>
      <c r="C168" s="13" t="s">
        <v>252</v>
      </c>
      <c r="D168" s="87"/>
      <c r="E168" s="15" t="s">
        <v>2493</v>
      </c>
      <c r="F168" s="31" t="s">
        <v>1079</v>
      </c>
      <c r="G168" s="16"/>
      <c r="H168" s="31" t="s">
        <v>1079</v>
      </c>
      <c r="I168" s="17"/>
      <c r="J168" s="18"/>
      <c r="K168" s="175">
        <v>0</v>
      </c>
    </row>
    <row r="169" spans="1:11" ht="15.75" hidden="1" thickBot="1" x14ac:dyDescent="0.3">
      <c r="A169" s="185"/>
      <c r="B169" s="20" t="s">
        <v>1079</v>
      </c>
      <c r="C169" s="20"/>
      <c r="D169" s="85"/>
      <c r="E169" s="43"/>
      <c r="F169" s="32" t="s">
        <v>1079</v>
      </c>
      <c r="G169" s="20"/>
      <c r="H169" s="19" t="s">
        <v>1079</v>
      </c>
      <c r="I169" s="24"/>
      <c r="J169" s="19"/>
      <c r="K169" s="175">
        <v>0</v>
      </c>
    </row>
    <row r="170" spans="1:11" ht="15.75" hidden="1" thickBot="1" x14ac:dyDescent="0.3">
      <c r="A170" s="185"/>
      <c r="B170" s="25" t="s">
        <v>238</v>
      </c>
      <c r="C170" s="25" t="s">
        <v>252</v>
      </c>
      <c r="D170" s="26">
        <v>1.36</v>
      </c>
      <c r="E170" s="27" t="s">
        <v>2671</v>
      </c>
      <c r="F170" s="23">
        <v>93.8125</v>
      </c>
      <c r="G170" s="27" t="s">
        <v>240</v>
      </c>
      <c r="H170" s="23">
        <v>127.58500000000001</v>
      </c>
      <c r="I170" s="34">
        <f>SUM(H170:H176)</f>
        <v>403.61351159999998</v>
      </c>
      <c r="J170" s="35"/>
      <c r="K170" s="175">
        <v>0</v>
      </c>
    </row>
    <row r="171" spans="1:11" ht="15.75" hidden="1" thickBot="1" x14ac:dyDescent="0.3">
      <c r="A171" s="185"/>
      <c r="B171" s="25" t="s">
        <v>241</v>
      </c>
      <c r="C171" s="25" t="s">
        <v>1629</v>
      </c>
      <c r="D171" s="26">
        <v>459.85</v>
      </c>
      <c r="E171" s="27" t="s">
        <v>2671</v>
      </c>
      <c r="F171" s="23">
        <v>0.38</v>
      </c>
      <c r="G171" s="27" t="s">
        <v>242</v>
      </c>
      <c r="H171" s="23">
        <v>174.74300000000002</v>
      </c>
      <c r="I171" s="34"/>
      <c r="J171" s="35"/>
      <c r="K171" s="175">
        <v>0</v>
      </c>
    </row>
    <row r="172" spans="1:11" ht="15.75" hidden="1" customHeight="1" x14ac:dyDescent="0.3">
      <c r="A172" s="185"/>
      <c r="B172" s="25" t="s">
        <v>245</v>
      </c>
      <c r="C172" s="25" t="s">
        <v>1366</v>
      </c>
      <c r="D172" s="26">
        <v>4.8499999999999996</v>
      </c>
      <c r="E172" s="27" t="s">
        <v>2671</v>
      </c>
      <c r="F172" s="19">
        <v>14.411499999999998</v>
      </c>
      <c r="G172" s="27" t="s">
        <v>246</v>
      </c>
      <c r="H172" s="23">
        <v>69.895774999999986</v>
      </c>
      <c r="I172" s="34"/>
      <c r="J172" s="35"/>
      <c r="K172" s="175">
        <v>0</v>
      </c>
    </row>
    <row r="173" spans="1:11" ht="39" hidden="1" thickBot="1" x14ac:dyDescent="0.3">
      <c r="A173" s="185"/>
      <c r="B173" s="25" t="s">
        <v>2641</v>
      </c>
      <c r="C173" s="25" t="s">
        <v>1691</v>
      </c>
      <c r="D173" s="26">
        <v>1.1299999999999999</v>
      </c>
      <c r="E173" s="27" t="s">
        <v>2671</v>
      </c>
      <c r="F173" s="19">
        <v>1.1684999999999999</v>
      </c>
      <c r="G173" s="27" t="s">
        <v>248</v>
      </c>
      <c r="H173" s="23">
        <v>1.3204049999999998</v>
      </c>
      <c r="I173" s="34"/>
      <c r="J173" s="35"/>
      <c r="K173" s="175">
        <v>0</v>
      </c>
    </row>
    <row r="174" spans="1:11" ht="39" hidden="1" thickBot="1" x14ac:dyDescent="0.3">
      <c r="A174" s="185"/>
      <c r="B174" s="25" t="s">
        <v>2642</v>
      </c>
      <c r="C174" s="25" t="s">
        <v>1694</v>
      </c>
      <c r="D174" s="26">
        <v>3.72</v>
      </c>
      <c r="E174" s="27" t="s">
        <v>2671</v>
      </c>
      <c r="F174" s="19">
        <v>0.247</v>
      </c>
      <c r="G174" s="27" t="s">
        <v>250</v>
      </c>
      <c r="H174" s="23">
        <v>0.91883999999999999</v>
      </c>
      <c r="I174" s="34"/>
      <c r="J174" s="35"/>
      <c r="K174" s="175">
        <v>0</v>
      </c>
    </row>
    <row r="175" spans="1:11" ht="26.25" hidden="1" thickBot="1" x14ac:dyDescent="0.3">
      <c r="A175" s="185"/>
      <c r="B175" s="25" t="s">
        <v>251</v>
      </c>
      <c r="C175" s="25" t="s">
        <v>252</v>
      </c>
      <c r="D175" s="26">
        <f>ROUND(1*D170,4)</f>
        <v>1.36</v>
      </c>
      <c r="E175" s="27" t="s">
        <v>17</v>
      </c>
      <c r="F175" s="19">
        <v>0.72471700000000006</v>
      </c>
      <c r="G175" s="27" t="s">
        <v>253</v>
      </c>
      <c r="H175" s="23">
        <v>0.98561512000000018</v>
      </c>
      <c r="I175" s="34"/>
      <c r="J175" s="35"/>
      <c r="K175" s="175">
        <v>0</v>
      </c>
    </row>
    <row r="176" spans="1:11" ht="39" hidden="1" thickBot="1" x14ac:dyDescent="0.3">
      <c r="A176" s="185"/>
      <c r="B176" s="25" t="s">
        <v>254</v>
      </c>
      <c r="C176" s="36" t="s">
        <v>255</v>
      </c>
      <c r="D176" s="26">
        <f>ROUND(D170*20,4)</f>
        <v>27.2</v>
      </c>
      <c r="E176" s="27" t="s">
        <v>17</v>
      </c>
      <c r="F176" s="19">
        <v>1.0354733999999999</v>
      </c>
      <c r="G176" s="27" t="s">
        <v>256</v>
      </c>
      <c r="H176" s="23">
        <v>28.164876479999997</v>
      </c>
      <c r="I176" s="34"/>
      <c r="J176" s="35"/>
      <c r="K176" s="175">
        <v>0</v>
      </c>
    </row>
    <row r="177" spans="1:11" ht="15.75" hidden="1" thickBot="1" x14ac:dyDescent="0.3">
      <c r="A177" s="185"/>
      <c r="B177" s="1"/>
      <c r="C177" s="36"/>
      <c r="D177" s="26"/>
      <c r="E177" s="27"/>
      <c r="F177" s="19" t="s">
        <v>1079</v>
      </c>
      <c r="G177" s="27"/>
      <c r="H177" s="23" t="s">
        <v>1079</v>
      </c>
      <c r="I177" s="34"/>
      <c r="J177" s="35"/>
      <c r="K177" s="175">
        <v>0</v>
      </c>
    </row>
    <row r="178" spans="1:11" ht="15.75" hidden="1" customHeight="1" x14ac:dyDescent="0.3">
      <c r="A178" s="185"/>
      <c r="B178" s="39" t="s">
        <v>1459</v>
      </c>
      <c r="C178" s="36"/>
      <c r="D178" s="26"/>
      <c r="E178" s="27"/>
      <c r="F178" s="19" t="s">
        <v>1079</v>
      </c>
      <c r="G178" s="27"/>
      <c r="H178" s="23" t="s">
        <v>1079</v>
      </c>
      <c r="I178" s="34"/>
      <c r="J178" s="35"/>
      <c r="K178" s="175">
        <v>0</v>
      </c>
    </row>
    <row r="179" spans="1:11" ht="15.75" hidden="1" thickBot="1" x14ac:dyDescent="0.3">
      <c r="A179" s="185"/>
      <c r="B179" s="25"/>
      <c r="C179" s="25"/>
      <c r="D179" s="86"/>
      <c r="E179" s="27"/>
      <c r="F179" s="19" t="s">
        <v>1079</v>
      </c>
      <c r="G179" s="27"/>
      <c r="H179" s="19" t="s">
        <v>1079</v>
      </c>
      <c r="I179" s="24"/>
      <c r="J179" s="19"/>
      <c r="K179" s="175">
        <v>0</v>
      </c>
    </row>
    <row r="180" spans="1:11" ht="15.75" hidden="1" thickBot="1" x14ac:dyDescent="0.3">
      <c r="A180" s="188" t="s">
        <v>1696</v>
      </c>
      <c r="B180" s="30" t="s">
        <v>1079</v>
      </c>
      <c r="C180" s="13" t="s">
        <v>252</v>
      </c>
      <c r="D180" s="87"/>
      <c r="E180" s="15" t="str">
        <f>E182</f>
        <v>Sinapi 95606</v>
      </c>
      <c r="F180" s="31" t="s">
        <v>1079</v>
      </c>
      <c r="G180" s="16"/>
      <c r="H180" s="31" t="s">
        <v>1079</v>
      </c>
      <c r="I180" s="17"/>
      <c r="J180" s="18"/>
      <c r="K180" s="175">
        <v>0</v>
      </c>
    </row>
    <row r="181" spans="1:11" ht="15.75" hidden="1" thickBot="1" x14ac:dyDescent="0.3">
      <c r="A181" s="185"/>
      <c r="B181" s="20" t="s">
        <v>1079</v>
      </c>
      <c r="C181" s="20"/>
      <c r="D181" s="85"/>
      <c r="E181" s="43"/>
      <c r="F181" s="32" t="s">
        <v>1079</v>
      </c>
      <c r="G181" s="20"/>
      <c r="H181" s="19" t="s">
        <v>1079</v>
      </c>
      <c r="I181" s="24"/>
      <c r="J181" s="19"/>
      <c r="K181" s="175">
        <v>0</v>
      </c>
    </row>
    <row r="182" spans="1:11" ht="51.75" hidden="1" thickBot="1" x14ac:dyDescent="0.3">
      <c r="A182" s="185"/>
      <c r="B182" s="25" t="s">
        <v>1700</v>
      </c>
      <c r="C182" s="25" t="s">
        <v>1691</v>
      </c>
      <c r="D182" s="26">
        <v>6.0000000000000001E-3</v>
      </c>
      <c r="E182" s="27" t="s">
        <v>1697</v>
      </c>
      <c r="F182" s="23">
        <v>149.07399999999998</v>
      </c>
      <c r="G182" s="27" t="s">
        <v>1702</v>
      </c>
      <c r="H182" s="23">
        <v>0.89444399999999991</v>
      </c>
      <c r="I182" s="34">
        <f>SUM(H182:H184)</f>
        <v>1.1183969999999999</v>
      </c>
      <c r="J182" s="35"/>
      <c r="K182" s="175">
        <v>0</v>
      </c>
    </row>
    <row r="183" spans="1:11" ht="51.75" hidden="1" thickBot="1" x14ac:dyDescent="0.3">
      <c r="A183" s="185"/>
      <c r="B183" s="25" t="s">
        <v>1703</v>
      </c>
      <c r="C183" s="25" t="s">
        <v>1694</v>
      </c>
      <c r="D183" s="26">
        <v>3.0000000000000001E-3</v>
      </c>
      <c r="E183" s="27" t="s">
        <v>1697</v>
      </c>
      <c r="F183" s="23">
        <v>31.673000000000002</v>
      </c>
      <c r="G183" s="27" t="s">
        <v>1704</v>
      </c>
      <c r="H183" s="23">
        <v>9.5019000000000006E-2</v>
      </c>
      <c r="I183" s="34"/>
      <c r="J183" s="35"/>
      <c r="K183" s="175">
        <v>0</v>
      </c>
    </row>
    <row r="184" spans="1:11" ht="15.75" hidden="1" customHeight="1" x14ac:dyDescent="0.3">
      <c r="A184" s="185"/>
      <c r="B184" s="25" t="s">
        <v>1367</v>
      </c>
      <c r="C184" s="25" t="s">
        <v>1366</v>
      </c>
      <c r="D184" s="26">
        <v>8.9999999999999993E-3</v>
      </c>
      <c r="E184" s="27" t="s">
        <v>1697</v>
      </c>
      <c r="F184" s="23">
        <v>14.325999999999999</v>
      </c>
      <c r="G184" s="27" t="s">
        <v>39</v>
      </c>
      <c r="H184" s="23">
        <v>0.12893399999999997</v>
      </c>
      <c r="I184" s="34"/>
      <c r="J184" s="35"/>
      <c r="K184" s="175">
        <v>0</v>
      </c>
    </row>
    <row r="185" spans="1:11" ht="15.75" hidden="1" thickBot="1" x14ac:dyDescent="0.3">
      <c r="A185" s="185"/>
      <c r="B185" s="25"/>
      <c r="C185" s="25"/>
      <c r="D185" s="86"/>
      <c r="E185" s="27"/>
      <c r="F185" s="19" t="s">
        <v>1079</v>
      </c>
      <c r="G185" s="27"/>
      <c r="H185" s="19" t="s">
        <v>1079</v>
      </c>
      <c r="I185" s="24"/>
      <c r="J185" s="19"/>
      <c r="K185" s="175">
        <v>0</v>
      </c>
    </row>
    <row r="186" spans="1:11" ht="15.75" hidden="1" thickBot="1" x14ac:dyDescent="0.3">
      <c r="A186" s="188" t="s">
        <v>1636</v>
      </c>
      <c r="B186" s="30" t="s">
        <v>1079</v>
      </c>
      <c r="C186" s="13" t="s">
        <v>1629</v>
      </c>
      <c r="D186" s="87"/>
      <c r="E186" s="15" t="s">
        <v>1637</v>
      </c>
      <c r="F186" s="31" t="s">
        <v>1079</v>
      </c>
      <c r="G186" s="16"/>
      <c r="H186" s="31" t="s">
        <v>1079</v>
      </c>
      <c r="I186" s="17"/>
      <c r="J186" s="18"/>
      <c r="K186" s="175">
        <v>0</v>
      </c>
    </row>
    <row r="187" spans="1:11" ht="15.75" hidden="1" thickBot="1" x14ac:dyDescent="0.3">
      <c r="A187" s="185"/>
      <c r="B187" s="20" t="s">
        <v>1079</v>
      </c>
      <c r="C187" s="20"/>
      <c r="D187" s="85"/>
      <c r="E187" s="43"/>
      <c r="F187" s="32" t="s">
        <v>1079</v>
      </c>
      <c r="G187" s="20"/>
      <c r="H187" s="19" t="s">
        <v>1079</v>
      </c>
      <c r="I187" s="24"/>
      <c r="J187" s="19"/>
      <c r="K187" s="175">
        <v>0</v>
      </c>
    </row>
    <row r="188" spans="1:11" ht="15.75" hidden="1" thickBot="1" x14ac:dyDescent="0.3">
      <c r="A188" s="185"/>
      <c r="B188" s="25" t="s">
        <v>1479</v>
      </c>
      <c r="C188" s="25" t="s">
        <v>1629</v>
      </c>
      <c r="D188" s="26">
        <v>1.1100000000000001</v>
      </c>
      <c r="E188" s="27" t="s">
        <v>1637</v>
      </c>
      <c r="F188" s="23">
        <v>5.51</v>
      </c>
      <c r="G188" s="27" t="s">
        <v>1480</v>
      </c>
      <c r="H188" s="23">
        <v>6.1161000000000003</v>
      </c>
      <c r="I188" s="34">
        <f>SUM(H188:H190)</f>
        <v>6.5907656000000001</v>
      </c>
      <c r="J188" s="35"/>
      <c r="K188" s="175">
        <v>0</v>
      </c>
    </row>
    <row r="189" spans="1:11" ht="15.75" hidden="1" customHeight="1" x14ac:dyDescent="0.3">
      <c r="A189" s="185"/>
      <c r="B189" s="25" t="s">
        <v>1632</v>
      </c>
      <c r="C189" s="25" t="s">
        <v>1366</v>
      </c>
      <c r="D189" s="26">
        <v>3.2000000000000002E-3</v>
      </c>
      <c r="E189" s="27" t="s">
        <v>1637</v>
      </c>
      <c r="F189" s="23">
        <v>14.933999999999999</v>
      </c>
      <c r="G189" s="27" t="s">
        <v>1633</v>
      </c>
      <c r="H189" s="23">
        <v>4.7788799999999999E-2</v>
      </c>
      <c r="I189" s="34"/>
      <c r="J189" s="35"/>
      <c r="K189" s="175">
        <v>0</v>
      </c>
    </row>
    <row r="190" spans="1:11" ht="15.75" hidden="1" thickBot="1" x14ac:dyDescent="0.3">
      <c r="A190" s="185"/>
      <c r="B190" s="25" t="s">
        <v>1634</v>
      </c>
      <c r="C190" s="25" t="s">
        <v>1366</v>
      </c>
      <c r="D190" s="26">
        <v>2.24E-2</v>
      </c>
      <c r="E190" s="27" t="s">
        <v>1637</v>
      </c>
      <c r="F190" s="23">
        <v>19.056999999999999</v>
      </c>
      <c r="G190" s="27" t="s">
        <v>1635</v>
      </c>
      <c r="H190" s="23">
        <v>0.42687679999999995</v>
      </c>
      <c r="I190" s="34"/>
      <c r="J190" s="35"/>
      <c r="K190" s="175">
        <v>0</v>
      </c>
    </row>
    <row r="191" spans="1:11" ht="15.75" hidden="1" thickBot="1" x14ac:dyDescent="0.3">
      <c r="A191" s="185"/>
      <c r="B191" s="25" t="s">
        <v>1079</v>
      </c>
      <c r="C191" s="25"/>
      <c r="D191" s="86"/>
      <c r="E191" s="27"/>
      <c r="F191" s="19" t="s">
        <v>1079</v>
      </c>
      <c r="G191" s="27"/>
      <c r="H191" s="19" t="s">
        <v>1079</v>
      </c>
      <c r="I191" s="24"/>
      <c r="J191" s="19"/>
      <c r="K191" s="175">
        <v>0</v>
      </c>
    </row>
    <row r="192" spans="1:11" ht="15.75" hidden="1" thickBot="1" x14ac:dyDescent="0.3">
      <c r="A192" s="188" t="s">
        <v>1679</v>
      </c>
      <c r="B192" s="30" t="s">
        <v>1079</v>
      </c>
      <c r="C192" s="13" t="s">
        <v>1629</v>
      </c>
      <c r="D192" s="87"/>
      <c r="E192" s="15" t="s">
        <v>1680</v>
      </c>
      <c r="F192" s="31" t="s">
        <v>1079</v>
      </c>
      <c r="G192" s="16"/>
      <c r="H192" s="31" t="s">
        <v>1079</v>
      </c>
      <c r="I192" s="17"/>
      <c r="J192" s="18"/>
      <c r="K192" s="175">
        <v>0</v>
      </c>
    </row>
    <row r="193" spans="1:11" ht="15.75" hidden="1" customHeight="1" x14ac:dyDescent="0.3">
      <c r="A193" s="185"/>
      <c r="B193" s="20" t="s">
        <v>1079</v>
      </c>
      <c r="C193" s="20"/>
      <c r="D193" s="85"/>
      <c r="E193" s="43"/>
      <c r="F193" s="32" t="s">
        <v>1079</v>
      </c>
      <c r="G193" s="20"/>
      <c r="H193" s="19" t="s">
        <v>1079</v>
      </c>
      <c r="I193" s="24"/>
      <c r="J193" s="19"/>
      <c r="K193" s="175">
        <v>0</v>
      </c>
    </row>
    <row r="194" spans="1:11" ht="15.75" hidden="1" thickBot="1" x14ac:dyDescent="0.3">
      <c r="A194" s="185"/>
      <c r="B194" s="25" t="s">
        <v>1484</v>
      </c>
      <c r="C194" s="25" t="s">
        <v>1629</v>
      </c>
      <c r="D194" s="26">
        <v>1.1100000000000001</v>
      </c>
      <c r="E194" s="27" t="s">
        <v>1680</v>
      </c>
      <c r="F194" s="23">
        <v>4.5030000000000001</v>
      </c>
      <c r="G194" s="27" t="s">
        <v>1485</v>
      </c>
      <c r="H194" s="23">
        <v>4.9983300000000002</v>
      </c>
      <c r="I194" s="34">
        <f>SUM(H194:H196)</f>
        <v>5.1466630000000002</v>
      </c>
      <c r="J194" s="35"/>
      <c r="K194" s="175">
        <v>0</v>
      </c>
    </row>
    <row r="195" spans="1:11" ht="15.75" hidden="1" thickBot="1" x14ac:dyDescent="0.3">
      <c r="A195" s="185"/>
      <c r="B195" s="25" t="s">
        <v>1632</v>
      </c>
      <c r="C195" s="25" t="s">
        <v>1366</v>
      </c>
      <c r="D195" s="26">
        <v>1E-3</v>
      </c>
      <c r="E195" s="27" t="s">
        <v>1680</v>
      </c>
      <c r="F195" s="23">
        <v>14.933999999999999</v>
      </c>
      <c r="G195" s="27" t="s">
        <v>1633</v>
      </c>
      <c r="H195" s="23">
        <v>1.4933999999999999E-2</v>
      </c>
      <c r="I195" s="34"/>
      <c r="J195" s="35"/>
      <c r="K195" s="175">
        <v>0</v>
      </c>
    </row>
    <row r="196" spans="1:11" ht="15.75" hidden="1" thickBot="1" x14ac:dyDescent="0.3">
      <c r="A196" s="185"/>
      <c r="B196" s="25" t="s">
        <v>1634</v>
      </c>
      <c r="C196" s="25" t="s">
        <v>1366</v>
      </c>
      <c r="D196" s="26">
        <v>7.0000000000000001E-3</v>
      </c>
      <c r="E196" s="27" t="s">
        <v>1680</v>
      </c>
      <c r="F196" s="23">
        <v>19.056999999999999</v>
      </c>
      <c r="G196" s="27" t="s">
        <v>1635</v>
      </c>
      <c r="H196" s="23">
        <v>0.13339899999999999</v>
      </c>
      <c r="I196" s="34"/>
      <c r="J196" s="35"/>
      <c r="K196" s="175">
        <v>0</v>
      </c>
    </row>
    <row r="197" spans="1:11" ht="15.75" hidden="1" thickBot="1" x14ac:dyDescent="0.3">
      <c r="A197" s="185"/>
      <c r="B197" s="25" t="s">
        <v>1079</v>
      </c>
      <c r="C197" s="25"/>
      <c r="D197" s="86"/>
      <c r="E197" s="27"/>
      <c r="F197" s="19" t="s">
        <v>1079</v>
      </c>
      <c r="G197" s="27"/>
      <c r="H197" s="19" t="s">
        <v>1079</v>
      </c>
      <c r="I197" s="24"/>
      <c r="J197" s="19"/>
      <c r="K197" s="175">
        <v>0</v>
      </c>
    </row>
    <row r="198" spans="1:11" ht="15.75" hidden="1" thickBot="1" x14ac:dyDescent="0.3">
      <c r="A198" s="188" t="s">
        <v>1683</v>
      </c>
      <c r="B198" s="30" t="s">
        <v>1079</v>
      </c>
      <c r="C198" s="13" t="s">
        <v>1629</v>
      </c>
      <c r="D198" s="87"/>
      <c r="E198" s="15" t="s">
        <v>1684</v>
      </c>
      <c r="F198" s="31" t="s">
        <v>1079</v>
      </c>
      <c r="G198" s="16"/>
      <c r="H198" s="31" t="s">
        <v>1079</v>
      </c>
      <c r="I198" s="17"/>
      <c r="J198" s="18"/>
      <c r="K198" s="175">
        <v>0</v>
      </c>
    </row>
    <row r="199" spans="1:11" ht="15.75" hidden="1" thickBot="1" x14ac:dyDescent="0.3">
      <c r="A199" s="185"/>
      <c r="B199" s="20" t="s">
        <v>1079</v>
      </c>
      <c r="C199" s="20"/>
      <c r="D199" s="85"/>
      <c r="E199" s="43"/>
      <c r="F199" s="32" t="s">
        <v>1079</v>
      </c>
      <c r="G199" s="20"/>
      <c r="H199" s="19" t="s">
        <v>1079</v>
      </c>
      <c r="I199" s="24"/>
      <c r="J199" s="19"/>
      <c r="K199" s="175">
        <v>0</v>
      </c>
    </row>
    <row r="200" spans="1:11" ht="15.75" hidden="1" thickBot="1" x14ac:dyDescent="0.3">
      <c r="A200" s="185"/>
      <c r="B200" s="25" t="s">
        <v>2672</v>
      </c>
      <c r="C200" s="25" t="s">
        <v>1629</v>
      </c>
      <c r="D200" s="26">
        <v>1.1399999999999999</v>
      </c>
      <c r="E200" s="27" t="s">
        <v>1684</v>
      </c>
      <c r="F200" s="23">
        <v>5.1869999999999994</v>
      </c>
      <c r="G200" s="27" t="s">
        <v>2673</v>
      </c>
      <c r="H200" s="23">
        <v>5.9131799999999988</v>
      </c>
      <c r="I200" s="34">
        <f>SUM(H200:H201)</f>
        <v>5.951293999999999</v>
      </c>
      <c r="J200" s="35"/>
      <c r="K200" s="175">
        <v>0</v>
      </c>
    </row>
    <row r="201" spans="1:11" ht="15.75" hidden="1" customHeight="1" x14ac:dyDescent="0.3">
      <c r="A201" s="185"/>
      <c r="B201" s="25" t="s">
        <v>1634</v>
      </c>
      <c r="C201" s="25" t="s">
        <v>1366</v>
      </c>
      <c r="D201" s="26">
        <v>2E-3</v>
      </c>
      <c r="E201" s="27" t="s">
        <v>1684</v>
      </c>
      <c r="F201" s="23">
        <v>19.056999999999999</v>
      </c>
      <c r="G201" s="27" t="s">
        <v>1635</v>
      </c>
      <c r="H201" s="23">
        <v>3.8113999999999995E-2</v>
      </c>
      <c r="I201" s="34"/>
      <c r="J201" s="35"/>
      <c r="K201" s="175">
        <v>0</v>
      </c>
    </row>
    <row r="202" spans="1:11" ht="15.75" hidden="1" thickBot="1" x14ac:dyDescent="0.3">
      <c r="A202" s="185"/>
      <c r="B202" s="25" t="s">
        <v>1079</v>
      </c>
      <c r="C202" s="25"/>
      <c r="D202" s="86"/>
      <c r="E202" s="27"/>
      <c r="F202" s="19" t="s">
        <v>1079</v>
      </c>
      <c r="G202" s="27"/>
      <c r="H202" s="19" t="s">
        <v>1079</v>
      </c>
      <c r="I202" s="24"/>
      <c r="J202" s="19"/>
      <c r="K202" s="175">
        <v>0</v>
      </c>
    </row>
    <row r="203" spans="1:11" ht="15.75" hidden="1" thickBot="1" x14ac:dyDescent="0.3">
      <c r="A203" s="188" t="s">
        <v>1784</v>
      </c>
      <c r="B203" s="30" t="s">
        <v>1079</v>
      </c>
      <c r="C203" s="13" t="s">
        <v>1785</v>
      </c>
      <c r="D203" s="87"/>
      <c r="E203" s="15" t="s">
        <v>1786</v>
      </c>
      <c r="F203" s="31" t="s">
        <v>1079</v>
      </c>
      <c r="G203" s="16"/>
      <c r="H203" s="31" t="s">
        <v>1079</v>
      </c>
      <c r="I203" s="17"/>
      <c r="J203" s="18"/>
      <c r="K203" s="175">
        <v>0</v>
      </c>
    </row>
    <row r="204" spans="1:11" ht="15.75" hidden="1" thickBot="1" x14ac:dyDescent="0.3">
      <c r="A204" s="185"/>
      <c r="B204" s="20" t="s">
        <v>1079</v>
      </c>
      <c r="C204" s="20"/>
      <c r="D204" s="85"/>
      <c r="E204" s="43"/>
      <c r="F204" s="32" t="s">
        <v>1079</v>
      </c>
      <c r="G204" s="20"/>
      <c r="H204" s="19" t="s">
        <v>1079</v>
      </c>
      <c r="I204" s="24"/>
      <c r="J204" s="19"/>
      <c r="K204" s="175">
        <v>0</v>
      </c>
    </row>
    <row r="205" spans="1:11" ht="15.75" hidden="1" thickBot="1" x14ac:dyDescent="0.3">
      <c r="A205" s="185"/>
      <c r="B205" s="25" t="s">
        <v>1367</v>
      </c>
      <c r="C205" s="25" t="s">
        <v>1366</v>
      </c>
      <c r="D205" s="26">
        <v>0.61180000000000001</v>
      </c>
      <c r="E205" s="27" t="s">
        <v>1786</v>
      </c>
      <c r="F205" s="23">
        <v>14.325999999999999</v>
      </c>
      <c r="G205" s="27" t="s">
        <v>39</v>
      </c>
      <c r="H205" s="23">
        <v>8.7646467999999995</v>
      </c>
      <c r="I205" s="34">
        <f>SUM(H205:H205)</f>
        <v>8.7646467999999995</v>
      </c>
      <c r="J205" s="35"/>
      <c r="K205" s="175">
        <v>0</v>
      </c>
    </row>
    <row r="206" spans="1:11" ht="15.75" hidden="1" customHeight="1" thickBot="1" x14ac:dyDescent="0.3">
      <c r="A206" s="189"/>
      <c r="B206" s="47" t="s">
        <v>1079</v>
      </c>
      <c r="C206" s="47"/>
      <c r="D206" s="89"/>
      <c r="E206" s="61"/>
      <c r="F206" s="62" t="s">
        <v>1079</v>
      </c>
      <c r="G206" s="61"/>
      <c r="H206" s="62" t="s">
        <v>1079</v>
      </c>
      <c r="I206" s="64"/>
      <c r="J206" s="19"/>
      <c r="K206" s="175">
        <v>0</v>
      </c>
    </row>
    <row r="207" spans="1:11" ht="15.75" thickBot="1" x14ac:dyDescent="0.3">
      <c r="A207" s="273" t="s">
        <v>236</v>
      </c>
      <c r="B207" s="274" t="s">
        <v>1079</v>
      </c>
      <c r="C207" s="265" t="s">
        <v>252</v>
      </c>
      <c r="D207" s="252"/>
      <c r="E207" s="259" t="str">
        <f>E209</f>
        <v>Sinapi 92873</v>
      </c>
      <c r="F207" s="260" t="s">
        <v>1079</v>
      </c>
      <c r="G207" s="261"/>
      <c r="H207" s="260" t="s">
        <v>1079</v>
      </c>
      <c r="I207" s="280"/>
      <c r="J207" s="18"/>
      <c r="K207" s="175">
        <v>5.83</v>
      </c>
    </row>
    <row r="208" spans="1:11" x14ac:dyDescent="0.25">
      <c r="A208" s="268"/>
      <c r="B208" s="155" t="s">
        <v>1079</v>
      </c>
      <c r="C208" s="155"/>
      <c r="D208" s="249"/>
      <c r="E208" s="256"/>
      <c r="F208" s="262" t="s">
        <v>1079</v>
      </c>
      <c r="G208" s="155"/>
      <c r="H208" s="257" t="s">
        <v>1079</v>
      </c>
      <c r="I208" s="281"/>
      <c r="J208" s="19"/>
      <c r="K208" s="175">
        <v>5.83</v>
      </c>
    </row>
    <row r="209" spans="1:11" x14ac:dyDescent="0.25">
      <c r="A209" s="268"/>
      <c r="B209" s="105" t="s">
        <v>153</v>
      </c>
      <c r="C209" s="105" t="s">
        <v>21</v>
      </c>
      <c r="D209" s="250">
        <v>1.8460000000000001</v>
      </c>
      <c r="E209" s="176" t="s">
        <v>237</v>
      </c>
      <c r="F209" s="258">
        <v>19.018999999999998</v>
      </c>
      <c r="G209" s="176" t="s">
        <v>155</v>
      </c>
      <c r="H209" s="258">
        <v>35.109074</v>
      </c>
      <c r="I209" s="282">
        <f>SUM(H209:H213)</f>
        <v>150.96394899999999</v>
      </c>
      <c r="J209" s="35"/>
      <c r="K209" s="175">
        <v>5.83</v>
      </c>
    </row>
    <row r="210" spans="1:11" x14ac:dyDescent="0.25">
      <c r="A210" s="268"/>
      <c r="B210" s="105" t="s">
        <v>36</v>
      </c>
      <c r="C210" s="105" t="s">
        <v>21</v>
      </c>
      <c r="D210" s="250">
        <v>1.8460000000000001</v>
      </c>
      <c r="E210" s="176" t="s">
        <v>237</v>
      </c>
      <c r="F210" s="258">
        <v>19.142499999999998</v>
      </c>
      <c r="G210" s="176" t="s">
        <v>37</v>
      </c>
      <c r="H210" s="258">
        <v>35.337054999999999</v>
      </c>
      <c r="I210" s="282"/>
      <c r="J210" s="35"/>
      <c r="K210" s="175">
        <v>5.83</v>
      </c>
    </row>
    <row r="211" spans="1:11" ht="15.75" customHeight="1" x14ac:dyDescent="0.25">
      <c r="A211" s="268"/>
      <c r="B211" s="105" t="s">
        <v>38</v>
      </c>
      <c r="C211" s="105" t="s">
        <v>21</v>
      </c>
      <c r="D211" s="250">
        <f>5.538</f>
        <v>5.5380000000000003</v>
      </c>
      <c r="E211" s="176" t="s">
        <v>237</v>
      </c>
      <c r="F211" s="257">
        <v>14.325999999999999</v>
      </c>
      <c r="G211" s="176" t="s">
        <v>39</v>
      </c>
      <c r="H211" s="258">
        <v>79.33738799999999</v>
      </c>
      <c r="I211" s="282"/>
      <c r="J211" s="35"/>
      <c r="K211" s="175">
        <v>5.83</v>
      </c>
    </row>
    <row r="212" spans="1:11" ht="25.5" x14ac:dyDescent="0.25">
      <c r="A212" s="268"/>
      <c r="B212" s="105" t="s">
        <v>2674</v>
      </c>
      <c r="C212" s="271" t="s">
        <v>59</v>
      </c>
      <c r="D212" s="250">
        <v>0.67200000000000004</v>
      </c>
      <c r="E212" s="176" t="s">
        <v>237</v>
      </c>
      <c r="F212" s="257">
        <v>1.2255</v>
      </c>
      <c r="G212" s="176" t="s">
        <v>2091</v>
      </c>
      <c r="H212" s="93">
        <v>0.82353600000000005</v>
      </c>
      <c r="I212" s="282"/>
      <c r="J212" s="35"/>
      <c r="K212" s="175">
        <v>5.83</v>
      </c>
    </row>
    <row r="213" spans="1:11" ht="25.5" x14ac:dyDescent="0.25">
      <c r="A213" s="268"/>
      <c r="B213" s="105" t="s">
        <v>2675</v>
      </c>
      <c r="C213" s="271" t="s">
        <v>62</v>
      </c>
      <c r="D213" s="250">
        <v>1.1739999999999999</v>
      </c>
      <c r="E213" s="176" t="s">
        <v>237</v>
      </c>
      <c r="F213" s="257">
        <v>0.30399999999999999</v>
      </c>
      <c r="G213" s="176" t="s">
        <v>2093</v>
      </c>
      <c r="H213" s="93">
        <v>0.35689599999999999</v>
      </c>
      <c r="I213" s="282"/>
      <c r="J213" s="35"/>
      <c r="K213" s="175">
        <v>5.83</v>
      </c>
    </row>
    <row r="214" spans="1:11" ht="15.75" thickBot="1" x14ac:dyDescent="0.3">
      <c r="A214" s="268"/>
      <c r="B214" s="105"/>
      <c r="C214" s="105"/>
      <c r="D214" s="251"/>
      <c r="E214" s="176"/>
      <c r="F214" s="257" t="s">
        <v>1079</v>
      </c>
      <c r="G214" s="176"/>
      <c r="H214" s="257" t="s">
        <v>1079</v>
      </c>
      <c r="I214" s="281"/>
      <c r="J214" s="19"/>
      <c r="K214" s="175">
        <v>5.83</v>
      </c>
    </row>
    <row r="215" spans="1:11" ht="15.75" thickBot="1" x14ac:dyDescent="0.3">
      <c r="A215" s="273" t="s">
        <v>254</v>
      </c>
      <c r="B215" s="274" t="s">
        <v>1079</v>
      </c>
      <c r="C215" s="265" t="s">
        <v>255</v>
      </c>
      <c r="D215" s="252"/>
      <c r="E215" s="259" t="s">
        <v>256</v>
      </c>
      <c r="F215" s="260" t="s">
        <v>1079</v>
      </c>
      <c r="G215" s="261"/>
      <c r="H215" s="260" t="s">
        <v>1079</v>
      </c>
      <c r="I215" s="280"/>
      <c r="J215" s="18"/>
      <c r="K215" s="175">
        <v>1311.4548</v>
      </c>
    </row>
    <row r="216" spans="1:11" x14ac:dyDescent="0.25">
      <c r="A216" s="268"/>
      <c r="B216" s="155" t="s">
        <v>1079</v>
      </c>
      <c r="C216" s="155"/>
      <c r="D216" s="249"/>
      <c r="E216" s="256"/>
      <c r="F216" s="262" t="s">
        <v>1079</v>
      </c>
      <c r="G216" s="155"/>
      <c r="H216" s="257" t="s">
        <v>1079</v>
      </c>
      <c r="I216" s="281"/>
      <c r="J216" s="19"/>
      <c r="K216" s="175">
        <v>1311.4548</v>
      </c>
    </row>
    <row r="217" spans="1:11" ht="51" x14ac:dyDescent="0.25">
      <c r="A217" s="268"/>
      <c r="B217" s="105" t="s">
        <v>1930</v>
      </c>
      <c r="C217" s="105" t="s">
        <v>1691</v>
      </c>
      <c r="D217" s="250">
        <v>1.04E-2</v>
      </c>
      <c r="E217" s="176" t="s">
        <v>256</v>
      </c>
      <c r="F217" s="258">
        <v>92.064499999999995</v>
      </c>
      <c r="G217" s="176" t="s">
        <v>1931</v>
      </c>
      <c r="H217" s="258">
        <v>0.95747079999999996</v>
      </c>
      <c r="I217" s="282">
        <f>SUM(H217:H218)</f>
        <v>1.0354733999999999</v>
      </c>
      <c r="J217" s="35"/>
      <c r="K217" s="175">
        <v>1311.4548</v>
      </c>
    </row>
    <row r="218" spans="1:11" ht="51" x14ac:dyDescent="0.25">
      <c r="A218" s="268"/>
      <c r="B218" s="105" t="s">
        <v>1932</v>
      </c>
      <c r="C218" s="105" t="s">
        <v>1694</v>
      </c>
      <c r="D218" s="250">
        <v>2.5999999999999999E-3</v>
      </c>
      <c r="E218" s="176" t="s">
        <v>256</v>
      </c>
      <c r="F218" s="258">
        <v>30.000999999999998</v>
      </c>
      <c r="G218" s="176" t="s">
        <v>1933</v>
      </c>
      <c r="H218" s="258">
        <v>7.8002599999999991E-2</v>
      </c>
      <c r="I218" s="282"/>
      <c r="J218" s="35"/>
      <c r="K218" s="175">
        <v>1311.4548</v>
      </c>
    </row>
    <row r="219" spans="1:11" ht="15.75" thickBot="1" x14ac:dyDescent="0.3">
      <c r="A219" s="272"/>
      <c r="B219" s="275" t="s">
        <v>1079</v>
      </c>
      <c r="C219" s="275"/>
      <c r="D219" s="253"/>
      <c r="E219" s="263"/>
      <c r="F219" s="264" t="s">
        <v>1079</v>
      </c>
      <c r="G219" s="263"/>
      <c r="H219" s="264" t="s">
        <v>1079</v>
      </c>
      <c r="I219" s="284"/>
      <c r="J219" s="19"/>
      <c r="K219" s="175">
        <v>1311.4548</v>
      </c>
    </row>
    <row r="220" spans="1:11" ht="15.75" hidden="1" thickBot="1" x14ac:dyDescent="0.3">
      <c r="A220" s="188" t="s">
        <v>1456</v>
      </c>
      <c r="B220" s="30" t="s">
        <v>1079</v>
      </c>
      <c r="C220" s="13" t="s">
        <v>1457</v>
      </c>
      <c r="D220" s="87"/>
      <c r="E220" s="15" t="s">
        <v>1458</v>
      </c>
      <c r="F220" s="31" t="s">
        <v>1079</v>
      </c>
      <c r="G220" s="16"/>
      <c r="H220" s="31" t="s">
        <v>1079</v>
      </c>
      <c r="I220" s="17"/>
      <c r="J220" s="18"/>
      <c r="K220" s="175">
        <v>0</v>
      </c>
    </row>
    <row r="221" spans="1:11" ht="15.75" hidden="1" thickBot="1" x14ac:dyDescent="0.3">
      <c r="A221" s="185"/>
      <c r="B221" s="20" t="s">
        <v>1079</v>
      </c>
      <c r="C221" s="20"/>
      <c r="D221" s="85"/>
      <c r="E221" s="43"/>
      <c r="F221" s="32" t="s">
        <v>1079</v>
      </c>
      <c r="G221" s="20"/>
      <c r="H221" s="19" t="s">
        <v>1079</v>
      </c>
      <c r="I221" s="24"/>
      <c r="J221" s="19"/>
      <c r="K221" s="175">
        <v>0</v>
      </c>
    </row>
    <row r="222" spans="1:11" ht="51.75" hidden="1" thickBot="1" x14ac:dyDescent="0.3">
      <c r="A222" s="185"/>
      <c r="B222" s="25" t="s">
        <v>1930</v>
      </c>
      <c r="C222" s="25" t="s">
        <v>1691</v>
      </c>
      <c r="D222" s="26">
        <v>7.0000000000000001E-3</v>
      </c>
      <c r="E222" s="27" t="s">
        <v>1458</v>
      </c>
      <c r="F222" s="23">
        <v>92.064499999999995</v>
      </c>
      <c r="G222" s="27" t="s">
        <v>1931</v>
      </c>
      <c r="H222" s="23">
        <v>0.64445149999999995</v>
      </c>
      <c r="I222" s="34">
        <f>SUM(H222:H223)</f>
        <v>0.69545319999999999</v>
      </c>
      <c r="J222" s="35"/>
      <c r="K222" s="175">
        <v>0</v>
      </c>
    </row>
    <row r="223" spans="1:11" ht="51.75" hidden="1" thickBot="1" x14ac:dyDescent="0.3">
      <c r="A223" s="185"/>
      <c r="B223" s="25" t="s">
        <v>1932</v>
      </c>
      <c r="C223" s="25" t="s">
        <v>1694</v>
      </c>
      <c r="D223" s="26">
        <v>1.6999999999999999E-3</v>
      </c>
      <c r="E223" s="27" t="s">
        <v>1458</v>
      </c>
      <c r="F223" s="23">
        <v>30.000999999999998</v>
      </c>
      <c r="G223" s="27" t="s">
        <v>1933</v>
      </c>
      <c r="H223" s="23">
        <v>5.100169999999999E-2</v>
      </c>
      <c r="I223" s="34"/>
      <c r="J223" s="35"/>
      <c r="K223" s="175">
        <v>0</v>
      </c>
    </row>
    <row r="224" spans="1:11" ht="15.75" hidden="1" thickBot="1" x14ac:dyDescent="0.3">
      <c r="A224" s="189"/>
      <c r="B224" s="47" t="s">
        <v>1079</v>
      </c>
      <c r="C224" s="47"/>
      <c r="D224" s="89"/>
      <c r="E224" s="61"/>
      <c r="F224" s="62" t="s">
        <v>1079</v>
      </c>
      <c r="G224" s="61"/>
      <c r="H224" s="62" t="s">
        <v>1079</v>
      </c>
      <c r="I224" s="64"/>
      <c r="J224" s="19"/>
      <c r="K224" s="175">
        <v>0</v>
      </c>
    </row>
    <row r="225" spans="1:11" ht="15.75" hidden="1" customHeight="1" thickBot="1" x14ac:dyDescent="0.3">
      <c r="A225" s="188" t="s">
        <v>1922</v>
      </c>
      <c r="B225" s="30" t="s">
        <v>1079</v>
      </c>
      <c r="C225" s="13" t="s">
        <v>252</v>
      </c>
      <c r="D225" s="87"/>
      <c r="E225" s="15" t="s">
        <v>1923</v>
      </c>
      <c r="F225" s="31" t="s">
        <v>1079</v>
      </c>
      <c r="G225" s="16"/>
      <c r="H225" s="31" t="s">
        <v>1079</v>
      </c>
      <c r="I225" s="17"/>
      <c r="J225" s="18"/>
      <c r="K225" s="175">
        <v>0</v>
      </c>
    </row>
    <row r="226" spans="1:11" ht="15.75" hidden="1" thickBot="1" x14ac:dyDescent="0.3">
      <c r="A226" s="185"/>
      <c r="B226" s="20" t="s">
        <v>1079</v>
      </c>
      <c r="C226" s="20"/>
      <c r="D226" s="85"/>
      <c r="E226" s="43"/>
      <c r="F226" s="32" t="s">
        <v>1079</v>
      </c>
      <c r="G226" s="20"/>
      <c r="H226" s="19" t="s">
        <v>1079</v>
      </c>
      <c r="I226" s="24"/>
      <c r="J226" s="19"/>
      <c r="K226" s="175">
        <v>0</v>
      </c>
    </row>
    <row r="227" spans="1:11" ht="26.25" hidden="1" thickBot="1" x14ac:dyDescent="0.3">
      <c r="A227" s="185"/>
      <c r="B227" s="25" t="s">
        <v>1455</v>
      </c>
      <c r="C227" s="25" t="s">
        <v>252</v>
      </c>
      <c r="D227" s="26">
        <v>0.76100000000000001</v>
      </c>
      <c r="E227" s="27" t="s">
        <v>2676</v>
      </c>
      <c r="F227" s="23">
        <v>93.8125</v>
      </c>
      <c r="G227" s="27" t="s">
        <v>240</v>
      </c>
      <c r="H227" s="23">
        <v>71.391312499999998</v>
      </c>
      <c r="I227" s="34">
        <f>SUM(H227:H235)</f>
        <v>310.99316812000001</v>
      </c>
      <c r="J227" s="35"/>
      <c r="K227" s="175">
        <v>0</v>
      </c>
    </row>
    <row r="228" spans="1:11" ht="15.75" hidden="1" thickBot="1" x14ac:dyDescent="0.3">
      <c r="A228" s="185"/>
      <c r="B228" s="25" t="s">
        <v>1448</v>
      </c>
      <c r="C228" s="25" t="s">
        <v>1629</v>
      </c>
      <c r="D228" s="26">
        <v>325.16000000000003</v>
      </c>
      <c r="E228" s="27" t="s">
        <v>2676</v>
      </c>
      <c r="F228" s="23">
        <v>0.38</v>
      </c>
      <c r="G228" s="27" t="s">
        <v>242</v>
      </c>
      <c r="H228" s="23">
        <v>123.56080000000001</v>
      </c>
      <c r="I228" s="34"/>
      <c r="J228" s="35"/>
      <c r="K228" s="175">
        <v>0</v>
      </c>
    </row>
    <row r="229" spans="1:11" ht="26.25" hidden="1" thickBot="1" x14ac:dyDescent="0.3">
      <c r="A229" s="185"/>
      <c r="B229" s="25" t="s">
        <v>1465</v>
      </c>
      <c r="C229" s="25" t="s">
        <v>252</v>
      </c>
      <c r="D229" s="26">
        <v>0.59099999999999997</v>
      </c>
      <c r="E229" s="27" t="s">
        <v>2676</v>
      </c>
      <c r="F229" s="23">
        <v>62.082499999999989</v>
      </c>
      <c r="G229" s="27" t="s">
        <v>244</v>
      </c>
      <c r="H229" s="23">
        <v>36.690757499999989</v>
      </c>
      <c r="I229" s="34"/>
      <c r="J229" s="35"/>
      <c r="K229" s="175">
        <v>0</v>
      </c>
    </row>
    <row r="230" spans="1:11" ht="15.75" hidden="1" thickBot="1" x14ac:dyDescent="0.3">
      <c r="A230" s="185"/>
      <c r="B230" s="25" t="s">
        <v>1367</v>
      </c>
      <c r="C230" s="25" t="s">
        <v>1366</v>
      </c>
      <c r="D230" s="26">
        <v>2.0299999999999998</v>
      </c>
      <c r="E230" s="27" t="s">
        <v>2676</v>
      </c>
      <c r="F230" s="19">
        <v>14.325999999999999</v>
      </c>
      <c r="G230" s="27" t="s">
        <v>39</v>
      </c>
      <c r="H230" s="23">
        <v>29.081779999999995</v>
      </c>
      <c r="I230" s="34"/>
      <c r="J230" s="35"/>
      <c r="K230" s="175">
        <v>0</v>
      </c>
    </row>
    <row r="231" spans="1:11" ht="26.25" hidden="1" thickBot="1" x14ac:dyDescent="0.3">
      <c r="A231" s="185"/>
      <c r="B231" s="25" t="s">
        <v>2677</v>
      </c>
      <c r="C231" s="25" t="s">
        <v>1366</v>
      </c>
      <c r="D231" s="26">
        <v>1.28</v>
      </c>
      <c r="E231" s="27" t="s">
        <v>2676</v>
      </c>
      <c r="F231" s="19">
        <v>14.411499999999998</v>
      </c>
      <c r="G231" s="27" t="s">
        <v>246</v>
      </c>
      <c r="H231" s="88">
        <v>18.446719999999999</v>
      </c>
      <c r="I231" s="34"/>
      <c r="J231" s="35"/>
      <c r="K231" s="175">
        <v>0</v>
      </c>
    </row>
    <row r="232" spans="1:11" ht="39" hidden="1" thickBot="1" x14ac:dyDescent="0.3">
      <c r="A232" s="185"/>
      <c r="B232" s="25" t="s">
        <v>2537</v>
      </c>
      <c r="C232" s="25" t="s">
        <v>1691</v>
      </c>
      <c r="D232" s="26">
        <v>0.66</v>
      </c>
      <c r="E232" s="27" t="s">
        <v>2676</v>
      </c>
      <c r="F232" s="19">
        <v>3.3344999999999998</v>
      </c>
      <c r="G232" s="27" t="s">
        <v>2538</v>
      </c>
      <c r="H232" s="88">
        <v>2.2007699999999999</v>
      </c>
      <c r="I232" s="34"/>
      <c r="J232" s="35"/>
      <c r="K232" s="175">
        <v>0</v>
      </c>
    </row>
    <row r="233" spans="1:11" ht="39" hidden="1" thickBot="1" x14ac:dyDescent="0.3">
      <c r="A233" s="185"/>
      <c r="B233" s="25" t="s">
        <v>2678</v>
      </c>
      <c r="C233" s="36" t="s">
        <v>1694</v>
      </c>
      <c r="D233" s="26">
        <v>0.62</v>
      </c>
      <c r="E233" s="27" t="s">
        <v>2676</v>
      </c>
      <c r="F233" s="19">
        <v>1.0355000000000001</v>
      </c>
      <c r="G233" s="27" t="s">
        <v>2670</v>
      </c>
      <c r="H233" s="23">
        <v>0.64201000000000008</v>
      </c>
      <c r="I233" s="34"/>
      <c r="J233" s="35"/>
      <c r="K233" s="175">
        <v>0</v>
      </c>
    </row>
    <row r="234" spans="1:11" ht="26.25" hidden="1" thickBot="1" x14ac:dyDescent="0.3">
      <c r="A234" s="185"/>
      <c r="B234" s="25" t="s">
        <v>251</v>
      </c>
      <c r="C234" s="25" t="s">
        <v>252</v>
      </c>
      <c r="D234" s="26">
        <f>ROUND(1*(D227+D229),4)</f>
        <v>1.3520000000000001</v>
      </c>
      <c r="E234" s="27" t="s">
        <v>17</v>
      </c>
      <c r="F234" s="19">
        <v>0.72471700000000006</v>
      </c>
      <c r="G234" s="27" t="s">
        <v>253</v>
      </c>
      <c r="H234" s="23">
        <v>0.97981738400000018</v>
      </c>
      <c r="I234" s="34"/>
      <c r="J234" s="35"/>
      <c r="K234" s="175">
        <v>0</v>
      </c>
    </row>
    <row r="235" spans="1:11" ht="39" hidden="1" thickBot="1" x14ac:dyDescent="0.3">
      <c r="A235" s="185"/>
      <c r="B235" s="25" t="s">
        <v>254</v>
      </c>
      <c r="C235" s="36" t="s">
        <v>255</v>
      </c>
      <c r="D235" s="26">
        <f>ROUND((D227+D229)*20,4)</f>
        <v>27.04</v>
      </c>
      <c r="E235" s="27" t="s">
        <v>17</v>
      </c>
      <c r="F235" s="19">
        <v>1.0354733999999999</v>
      </c>
      <c r="G235" s="27" t="s">
        <v>256</v>
      </c>
      <c r="H235" s="23">
        <v>27.999200735999995</v>
      </c>
      <c r="I235" s="34"/>
      <c r="J235" s="35"/>
      <c r="K235" s="175">
        <v>0</v>
      </c>
    </row>
    <row r="236" spans="1:11" ht="15.75" hidden="1" thickBot="1" x14ac:dyDescent="0.3">
      <c r="A236" s="185"/>
      <c r="B236" s="1"/>
      <c r="C236" s="36"/>
      <c r="D236" s="26"/>
      <c r="E236" s="27"/>
      <c r="F236" s="19" t="s">
        <v>1079</v>
      </c>
      <c r="G236" s="27"/>
      <c r="H236" s="23" t="s">
        <v>1079</v>
      </c>
      <c r="I236" s="34"/>
      <c r="J236" s="35"/>
      <c r="K236" s="175">
        <v>0</v>
      </c>
    </row>
    <row r="237" spans="1:11" ht="26.25" hidden="1" thickBot="1" x14ac:dyDescent="0.3">
      <c r="A237" s="185"/>
      <c r="B237" s="39" t="s">
        <v>257</v>
      </c>
      <c r="C237" s="36"/>
      <c r="D237" s="26"/>
      <c r="E237" s="27"/>
      <c r="F237" s="19" t="s">
        <v>1079</v>
      </c>
      <c r="G237" s="27"/>
      <c r="H237" s="23" t="s">
        <v>1079</v>
      </c>
      <c r="I237" s="34"/>
      <c r="J237" s="35"/>
      <c r="K237" s="175">
        <v>0</v>
      </c>
    </row>
    <row r="238" spans="1:11" ht="15.75" hidden="1" thickBot="1" x14ac:dyDescent="0.3">
      <c r="A238" s="185"/>
      <c r="B238" s="25" t="s">
        <v>1079</v>
      </c>
      <c r="C238" s="25"/>
      <c r="D238" s="86"/>
      <c r="E238" s="27"/>
      <c r="F238" s="19" t="s">
        <v>1079</v>
      </c>
      <c r="G238" s="27"/>
      <c r="H238" s="19" t="s">
        <v>1079</v>
      </c>
      <c r="I238" s="24"/>
      <c r="J238" s="19"/>
      <c r="K238" s="175">
        <v>0</v>
      </c>
    </row>
    <row r="239" spans="1:11" ht="26.25" hidden="1" customHeight="1" thickBot="1" x14ac:dyDescent="0.3">
      <c r="A239" s="188" t="s">
        <v>2696</v>
      </c>
      <c r="B239" s="30" t="s">
        <v>1079</v>
      </c>
      <c r="C239" s="13" t="s">
        <v>252</v>
      </c>
      <c r="D239" s="87"/>
      <c r="E239" s="15" t="s">
        <v>2697</v>
      </c>
      <c r="F239" s="31" t="s">
        <v>1079</v>
      </c>
      <c r="G239" s="16"/>
      <c r="H239" s="31" t="s">
        <v>1079</v>
      </c>
      <c r="I239" s="17"/>
      <c r="J239" s="18"/>
      <c r="K239" s="175">
        <v>0</v>
      </c>
    </row>
    <row r="240" spans="1:11" ht="15.75" hidden="1" thickBot="1" x14ac:dyDescent="0.3">
      <c r="A240" s="185"/>
      <c r="B240" s="20" t="s">
        <v>1079</v>
      </c>
      <c r="C240" s="20"/>
      <c r="D240" s="85"/>
      <c r="E240" s="43"/>
      <c r="F240" s="91" t="s">
        <v>1079</v>
      </c>
      <c r="G240" s="20"/>
      <c r="H240" s="92" t="s">
        <v>1079</v>
      </c>
      <c r="I240" s="24"/>
      <c r="J240" s="19"/>
      <c r="K240" s="175">
        <v>0</v>
      </c>
    </row>
    <row r="241" spans="1:11" ht="26.25" hidden="1" thickBot="1" x14ac:dyDescent="0.3">
      <c r="A241" s="185"/>
      <c r="B241" s="25" t="s">
        <v>1455</v>
      </c>
      <c r="C241" s="25" t="s">
        <v>252</v>
      </c>
      <c r="D241" s="26">
        <v>0.82699999999999996</v>
      </c>
      <c r="E241" s="27" t="s">
        <v>2698</v>
      </c>
      <c r="F241" s="23">
        <v>93.8125</v>
      </c>
      <c r="G241" s="27" t="s">
        <v>240</v>
      </c>
      <c r="H241" s="23">
        <v>77.5829375</v>
      </c>
      <c r="I241" s="34">
        <f>SUM(H241:H249)</f>
        <v>280.06701242499992</v>
      </c>
      <c r="J241" s="35"/>
      <c r="K241" s="175">
        <v>0</v>
      </c>
    </row>
    <row r="242" spans="1:11" ht="15.75" hidden="1" thickBot="1" x14ac:dyDescent="0.3">
      <c r="A242" s="185"/>
      <c r="B242" s="25" t="s">
        <v>1448</v>
      </c>
      <c r="C242" s="25" t="s">
        <v>1629</v>
      </c>
      <c r="D242" s="26">
        <v>212.02</v>
      </c>
      <c r="E242" s="27" t="s">
        <v>2698</v>
      </c>
      <c r="F242" s="23">
        <v>0.38</v>
      </c>
      <c r="G242" s="27" t="s">
        <v>242</v>
      </c>
      <c r="H242" s="23">
        <v>80.567599999999999</v>
      </c>
      <c r="I242" s="34"/>
      <c r="J242" s="35"/>
      <c r="K242" s="175">
        <v>0</v>
      </c>
    </row>
    <row r="243" spans="1:11" ht="26.25" hidden="1" thickBot="1" x14ac:dyDescent="0.3">
      <c r="A243" s="185"/>
      <c r="B243" s="25" t="s">
        <v>1465</v>
      </c>
      <c r="C243" s="25" t="s">
        <v>252</v>
      </c>
      <c r="D243" s="26">
        <v>0.57799999999999996</v>
      </c>
      <c r="E243" s="27" t="s">
        <v>2698</v>
      </c>
      <c r="F243" s="23">
        <v>62.082499999999989</v>
      </c>
      <c r="G243" s="27" t="s">
        <v>244</v>
      </c>
      <c r="H243" s="23">
        <v>35.883684999999993</v>
      </c>
      <c r="I243" s="34"/>
      <c r="J243" s="35"/>
      <c r="K243" s="175">
        <v>0</v>
      </c>
    </row>
    <row r="244" spans="1:11" ht="15.75" hidden="1" thickBot="1" x14ac:dyDescent="0.3">
      <c r="A244" s="185"/>
      <c r="B244" s="25" t="s">
        <v>1367</v>
      </c>
      <c r="C244" s="25" t="s">
        <v>1366</v>
      </c>
      <c r="D244" s="26">
        <v>2.34</v>
      </c>
      <c r="E244" s="27" t="s">
        <v>2698</v>
      </c>
      <c r="F244" s="19">
        <v>14.325999999999999</v>
      </c>
      <c r="G244" s="27" t="s">
        <v>39</v>
      </c>
      <c r="H244" s="23">
        <v>33.522839999999995</v>
      </c>
      <c r="I244" s="34"/>
      <c r="J244" s="35"/>
      <c r="K244" s="175">
        <v>0</v>
      </c>
    </row>
    <row r="245" spans="1:11" ht="26.25" hidden="1" thickBot="1" x14ac:dyDescent="0.3">
      <c r="A245" s="185"/>
      <c r="B245" s="25" t="s">
        <v>2677</v>
      </c>
      <c r="C245" s="25" t="s">
        <v>1366</v>
      </c>
      <c r="D245" s="26">
        <v>1.48</v>
      </c>
      <c r="E245" s="27" t="s">
        <v>2698</v>
      </c>
      <c r="F245" s="19">
        <v>14.411499999999998</v>
      </c>
      <c r="G245" s="27" t="s">
        <v>246</v>
      </c>
      <c r="H245" s="93">
        <v>21.329019999999996</v>
      </c>
      <c r="I245" s="34"/>
      <c r="J245" s="35"/>
      <c r="K245" s="175">
        <v>0</v>
      </c>
    </row>
    <row r="246" spans="1:11" ht="39" hidden="1" thickBot="1" x14ac:dyDescent="0.3">
      <c r="A246" s="185"/>
      <c r="B246" s="25" t="s">
        <v>247</v>
      </c>
      <c r="C246" s="25" t="s">
        <v>1691</v>
      </c>
      <c r="D246" s="26">
        <v>0.76</v>
      </c>
      <c r="E246" s="27" t="s">
        <v>2698</v>
      </c>
      <c r="F246" s="19">
        <v>1.1684999999999999</v>
      </c>
      <c r="G246" s="27" t="s">
        <v>248</v>
      </c>
      <c r="H246" s="93">
        <v>0.88805999999999996</v>
      </c>
      <c r="I246" s="34"/>
      <c r="J246" s="35"/>
      <c r="K246" s="175">
        <v>0</v>
      </c>
    </row>
    <row r="247" spans="1:11" ht="39" hidden="1" thickBot="1" x14ac:dyDescent="0.3">
      <c r="A247" s="185"/>
      <c r="B247" s="25" t="s">
        <v>249</v>
      </c>
      <c r="C247" s="36" t="s">
        <v>1694</v>
      </c>
      <c r="D247" s="26">
        <v>0.72</v>
      </c>
      <c r="E247" s="27" t="s">
        <v>2698</v>
      </c>
      <c r="F247" s="19">
        <v>0.247</v>
      </c>
      <c r="G247" s="27" t="s">
        <v>250</v>
      </c>
      <c r="H247" s="23">
        <v>0.17784</v>
      </c>
      <c r="I247" s="34"/>
      <c r="J247" s="35"/>
      <c r="K247" s="175">
        <v>0</v>
      </c>
    </row>
    <row r="248" spans="1:11" ht="26.25" hidden="1" thickBot="1" x14ac:dyDescent="0.3">
      <c r="A248" s="185"/>
      <c r="B248" s="25" t="s">
        <v>251</v>
      </c>
      <c r="C248" s="25" t="s">
        <v>252</v>
      </c>
      <c r="D248" s="26">
        <f>ROUND(1*(D241+D243),4)</f>
        <v>1.405</v>
      </c>
      <c r="E248" s="27" t="s">
        <v>17</v>
      </c>
      <c r="F248" s="19">
        <v>0.72471700000000006</v>
      </c>
      <c r="G248" s="27" t="s">
        <v>253</v>
      </c>
      <c r="H248" s="23">
        <v>1.0182273850000001</v>
      </c>
      <c r="I248" s="34"/>
      <c r="J248" s="35"/>
      <c r="K248" s="175">
        <v>0</v>
      </c>
    </row>
    <row r="249" spans="1:11" ht="15.75" hidden="1" customHeight="1" x14ac:dyDescent="0.3">
      <c r="A249" s="185"/>
      <c r="B249" s="25" t="s">
        <v>254</v>
      </c>
      <c r="C249" s="36" t="s">
        <v>255</v>
      </c>
      <c r="D249" s="26">
        <f>ROUND((D241+D243)*20,4)</f>
        <v>28.1</v>
      </c>
      <c r="E249" s="27" t="s">
        <v>17</v>
      </c>
      <c r="F249" s="19">
        <v>1.0354733999999999</v>
      </c>
      <c r="G249" s="27" t="s">
        <v>256</v>
      </c>
      <c r="H249" s="23">
        <v>29.096802539999999</v>
      </c>
      <c r="I249" s="34"/>
      <c r="J249" s="35"/>
      <c r="K249" s="175">
        <v>0</v>
      </c>
    </row>
    <row r="250" spans="1:11" ht="15.75" hidden="1" thickBot="1" x14ac:dyDescent="0.3">
      <c r="A250" s="185"/>
      <c r="B250" s="1"/>
      <c r="C250" s="36"/>
      <c r="D250" s="26"/>
      <c r="E250" s="27"/>
      <c r="F250" s="19" t="s">
        <v>1079</v>
      </c>
      <c r="G250" s="27"/>
      <c r="H250" s="23" t="s">
        <v>1079</v>
      </c>
      <c r="I250" s="34"/>
      <c r="J250" s="35"/>
      <c r="K250" s="175">
        <v>0</v>
      </c>
    </row>
    <row r="251" spans="1:11" ht="26.25" hidden="1" thickBot="1" x14ac:dyDescent="0.3">
      <c r="A251" s="185"/>
      <c r="B251" s="39" t="s">
        <v>257</v>
      </c>
      <c r="C251" s="36"/>
      <c r="D251" s="26"/>
      <c r="E251" s="27"/>
      <c r="F251" s="19" t="s">
        <v>1079</v>
      </c>
      <c r="G251" s="27"/>
      <c r="H251" s="23" t="s">
        <v>1079</v>
      </c>
      <c r="I251" s="34"/>
      <c r="J251" s="35"/>
      <c r="K251" s="175">
        <v>0</v>
      </c>
    </row>
    <row r="252" spans="1:11" ht="15.75" hidden="1" thickBot="1" x14ac:dyDescent="0.3">
      <c r="A252" s="185"/>
      <c r="B252" s="25" t="s">
        <v>1079</v>
      </c>
      <c r="C252" s="25"/>
      <c r="D252" s="86"/>
      <c r="E252" s="27"/>
      <c r="F252" s="19" t="s">
        <v>1079</v>
      </c>
      <c r="G252" s="27"/>
      <c r="H252" s="19" t="s">
        <v>1079</v>
      </c>
      <c r="I252" s="24"/>
      <c r="J252" s="19"/>
      <c r="K252" s="175">
        <v>0</v>
      </c>
    </row>
    <row r="253" spans="1:11" ht="15.75" hidden="1" thickBot="1" x14ac:dyDescent="0.3">
      <c r="A253" s="188" t="s">
        <v>1853</v>
      </c>
      <c r="B253" s="30" t="s">
        <v>1079</v>
      </c>
      <c r="C253" s="13" t="s">
        <v>252</v>
      </c>
      <c r="D253" s="87"/>
      <c r="E253" s="15" t="s">
        <v>1854</v>
      </c>
      <c r="F253" s="31" t="s">
        <v>1079</v>
      </c>
      <c r="G253" s="16"/>
      <c r="H253" s="40" t="s">
        <v>1079</v>
      </c>
      <c r="I253" s="17"/>
      <c r="J253" s="18"/>
      <c r="K253" s="175">
        <v>0</v>
      </c>
    </row>
    <row r="254" spans="1:11" ht="15.75" hidden="1" thickBot="1" x14ac:dyDescent="0.3">
      <c r="A254" s="185"/>
      <c r="B254" s="20" t="s">
        <v>1079</v>
      </c>
      <c r="C254" s="20"/>
      <c r="D254" s="85"/>
      <c r="E254" s="43"/>
      <c r="F254" s="32" t="s">
        <v>1079</v>
      </c>
      <c r="G254" s="20"/>
      <c r="H254" s="19" t="s">
        <v>1079</v>
      </c>
      <c r="I254" s="24"/>
      <c r="J254" s="19"/>
      <c r="K254" s="175">
        <v>0</v>
      </c>
    </row>
    <row r="255" spans="1:11" ht="26.25" hidden="1" thickBot="1" x14ac:dyDescent="0.3">
      <c r="A255" s="185"/>
      <c r="B255" s="25" t="s">
        <v>2369</v>
      </c>
      <c r="C255" s="25" t="s">
        <v>252</v>
      </c>
      <c r="D255" s="26">
        <v>0.51</v>
      </c>
      <c r="E255" s="27" t="s">
        <v>2679</v>
      </c>
      <c r="F255" s="23">
        <v>100.8425</v>
      </c>
      <c r="G255" s="27" t="s">
        <v>2370</v>
      </c>
      <c r="H255" s="23">
        <v>51.429675000000003</v>
      </c>
      <c r="I255" s="34">
        <f>SUM(H255:H263)</f>
        <v>334.62782425000012</v>
      </c>
      <c r="J255" s="35"/>
      <c r="K255" s="175">
        <v>0</v>
      </c>
    </row>
    <row r="256" spans="1:11" ht="15.75" hidden="1" thickBot="1" x14ac:dyDescent="0.3">
      <c r="A256" s="185"/>
      <c r="B256" s="25" t="s">
        <v>2680</v>
      </c>
      <c r="C256" s="25" t="s">
        <v>1629</v>
      </c>
      <c r="D256" s="26">
        <v>10.35</v>
      </c>
      <c r="E256" s="27" t="s">
        <v>2679</v>
      </c>
      <c r="F256" s="23">
        <v>0.71249999999999991</v>
      </c>
      <c r="G256" s="27" t="s">
        <v>2640</v>
      </c>
      <c r="H256" s="23">
        <v>7.3743749999999988</v>
      </c>
      <c r="I256" s="34"/>
      <c r="J256" s="35"/>
      <c r="K256" s="175">
        <v>0</v>
      </c>
    </row>
    <row r="257" spans="1:11" ht="15.75" hidden="1" customHeight="1" x14ac:dyDescent="0.3">
      <c r="A257" s="185"/>
      <c r="B257" s="25" t="s">
        <v>1448</v>
      </c>
      <c r="C257" s="25" t="s">
        <v>1629</v>
      </c>
      <c r="D257" s="26">
        <v>431.3</v>
      </c>
      <c r="E257" s="27" t="s">
        <v>2679</v>
      </c>
      <c r="F257" s="23">
        <v>0.38</v>
      </c>
      <c r="G257" s="27" t="s">
        <v>242</v>
      </c>
      <c r="H257" s="23">
        <v>163.89400000000001</v>
      </c>
      <c r="I257" s="34"/>
      <c r="J257" s="35"/>
      <c r="K257" s="175">
        <v>0</v>
      </c>
    </row>
    <row r="258" spans="1:11" ht="26.25" hidden="1" thickBot="1" x14ac:dyDescent="0.3">
      <c r="A258" s="185"/>
      <c r="B258" s="25" t="s">
        <v>1461</v>
      </c>
      <c r="C258" s="25" t="s">
        <v>252</v>
      </c>
      <c r="D258" s="26">
        <v>0.54</v>
      </c>
      <c r="E258" s="27" t="s">
        <v>2679</v>
      </c>
      <c r="F258" s="19">
        <v>79.268000000000001</v>
      </c>
      <c r="G258" s="27" t="s">
        <v>1462</v>
      </c>
      <c r="H258" s="23">
        <v>42.804720000000003</v>
      </c>
      <c r="I258" s="34"/>
      <c r="J258" s="35"/>
      <c r="K258" s="175">
        <v>0</v>
      </c>
    </row>
    <row r="259" spans="1:11" ht="26.25" hidden="1" thickBot="1" x14ac:dyDescent="0.3">
      <c r="A259" s="185"/>
      <c r="B259" s="25" t="s">
        <v>2677</v>
      </c>
      <c r="C259" s="25" t="s">
        <v>1366</v>
      </c>
      <c r="D259" s="26">
        <v>3.12</v>
      </c>
      <c r="E259" s="27" t="s">
        <v>2679</v>
      </c>
      <c r="F259" s="19">
        <v>14.411499999999998</v>
      </c>
      <c r="G259" s="27" t="s">
        <v>246</v>
      </c>
      <c r="H259" s="23">
        <v>44.963879999999996</v>
      </c>
      <c r="I259" s="34"/>
      <c r="J259" s="35"/>
      <c r="K259" s="175">
        <v>0</v>
      </c>
    </row>
    <row r="260" spans="1:11" ht="39" hidden="1" thickBot="1" x14ac:dyDescent="0.3">
      <c r="A260" s="185"/>
      <c r="B260" s="25" t="s">
        <v>247</v>
      </c>
      <c r="C260" s="25" t="s">
        <v>1691</v>
      </c>
      <c r="D260" s="26">
        <v>0.96</v>
      </c>
      <c r="E260" s="27" t="s">
        <v>2679</v>
      </c>
      <c r="F260" s="19">
        <v>1.1684999999999999</v>
      </c>
      <c r="G260" s="27" t="s">
        <v>248</v>
      </c>
      <c r="H260" s="90">
        <v>1.1217599999999999</v>
      </c>
      <c r="I260" s="34"/>
      <c r="J260" s="35"/>
      <c r="K260" s="175">
        <v>0</v>
      </c>
    </row>
    <row r="261" spans="1:11" ht="39" hidden="1" thickBot="1" x14ac:dyDescent="0.3">
      <c r="A261" s="185"/>
      <c r="B261" s="25" t="s">
        <v>249</v>
      </c>
      <c r="C261" s="25" t="s">
        <v>1694</v>
      </c>
      <c r="D261" s="26">
        <v>2.16</v>
      </c>
      <c r="E261" s="27" t="s">
        <v>2679</v>
      </c>
      <c r="F261" s="19">
        <v>0.247</v>
      </c>
      <c r="G261" s="27" t="s">
        <v>250</v>
      </c>
      <c r="H261" s="90">
        <v>0.53351999999999999</v>
      </c>
      <c r="I261" s="34"/>
      <c r="J261" s="35"/>
      <c r="K261" s="175">
        <v>0</v>
      </c>
    </row>
    <row r="262" spans="1:11" ht="26.25" hidden="1" thickBot="1" x14ac:dyDescent="0.3">
      <c r="A262" s="185"/>
      <c r="B262" s="25" t="s">
        <v>251</v>
      </c>
      <c r="C262" s="25" t="s">
        <v>252</v>
      </c>
      <c r="D262" s="26">
        <f>ROUND(1*(D255+D258),4)</f>
        <v>1.05</v>
      </c>
      <c r="E262" s="27" t="s">
        <v>17</v>
      </c>
      <c r="F262" s="19">
        <v>0.72471700000000006</v>
      </c>
      <c r="G262" s="27" t="s">
        <v>253</v>
      </c>
      <c r="H262" s="23">
        <v>0.76095285000000012</v>
      </c>
      <c r="I262" s="34"/>
      <c r="J262" s="35"/>
      <c r="K262" s="175">
        <v>0</v>
      </c>
    </row>
    <row r="263" spans="1:11" ht="39" hidden="1" thickBot="1" x14ac:dyDescent="0.3">
      <c r="A263" s="185"/>
      <c r="B263" s="25" t="s">
        <v>254</v>
      </c>
      <c r="C263" s="36" t="s">
        <v>255</v>
      </c>
      <c r="D263" s="26">
        <f>ROUND((D255+D258)*20,4)</f>
        <v>21</v>
      </c>
      <c r="E263" s="27" t="s">
        <v>17</v>
      </c>
      <c r="F263" s="19">
        <v>1.0354733999999999</v>
      </c>
      <c r="G263" s="27" t="s">
        <v>256</v>
      </c>
      <c r="H263" s="23">
        <v>21.744941399999998</v>
      </c>
      <c r="I263" s="34"/>
      <c r="J263" s="35"/>
      <c r="K263" s="175">
        <v>0</v>
      </c>
    </row>
    <row r="264" spans="1:11" ht="15.75" hidden="1" thickBot="1" x14ac:dyDescent="0.3">
      <c r="A264" s="185"/>
      <c r="B264" s="1"/>
      <c r="C264" s="36"/>
      <c r="D264" s="26"/>
      <c r="E264" s="27"/>
      <c r="F264" s="19" t="s">
        <v>1079</v>
      </c>
      <c r="G264" s="27"/>
      <c r="H264" s="23" t="s">
        <v>1079</v>
      </c>
      <c r="I264" s="34"/>
      <c r="J264" s="35"/>
      <c r="K264" s="175">
        <v>0</v>
      </c>
    </row>
    <row r="265" spans="1:11" ht="15.75" hidden="1" customHeight="1" x14ac:dyDescent="0.3">
      <c r="A265" s="185"/>
      <c r="B265" s="39" t="s">
        <v>257</v>
      </c>
      <c r="C265" s="36"/>
      <c r="D265" s="26"/>
      <c r="E265" s="27"/>
      <c r="F265" s="19" t="s">
        <v>1079</v>
      </c>
      <c r="G265" s="27"/>
      <c r="H265" s="23" t="s">
        <v>1079</v>
      </c>
      <c r="I265" s="34"/>
      <c r="J265" s="35"/>
      <c r="K265" s="175">
        <v>0</v>
      </c>
    </row>
    <row r="266" spans="1:11" ht="15.75" hidden="1" thickBot="1" x14ac:dyDescent="0.3">
      <c r="A266" s="185"/>
      <c r="B266" s="25"/>
      <c r="C266" s="25"/>
      <c r="D266" s="86"/>
      <c r="E266" s="27"/>
      <c r="F266" s="19" t="s">
        <v>1079</v>
      </c>
      <c r="G266" s="27"/>
      <c r="H266" s="19" t="s">
        <v>1079</v>
      </c>
      <c r="I266" s="24"/>
      <c r="J266" s="19"/>
      <c r="K266" s="175">
        <v>0</v>
      </c>
    </row>
    <row r="267" spans="1:11" ht="15.75" hidden="1" thickBot="1" x14ac:dyDescent="0.3">
      <c r="A267" s="185" t="s">
        <v>1836</v>
      </c>
      <c r="B267" s="30" t="s">
        <v>1079</v>
      </c>
      <c r="C267" s="13" t="s">
        <v>252</v>
      </c>
      <c r="D267" s="87"/>
      <c r="E267" s="15" t="s">
        <v>1837</v>
      </c>
      <c r="F267" s="16" t="s">
        <v>1079</v>
      </c>
      <c r="G267" s="16"/>
      <c r="H267" s="13" t="s">
        <v>1079</v>
      </c>
      <c r="I267" s="17"/>
      <c r="J267" s="18"/>
      <c r="K267" s="175">
        <v>0</v>
      </c>
    </row>
    <row r="268" spans="1:11" ht="15.75" hidden="1" thickBot="1" x14ac:dyDescent="0.3">
      <c r="A268" s="185"/>
      <c r="B268" s="20" t="s">
        <v>1079</v>
      </c>
      <c r="C268" s="20"/>
      <c r="D268" s="85"/>
      <c r="E268" s="43"/>
      <c r="F268" s="19" t="s">
        <v>1079</v>
      </c>
      <c r="G268" s="20"/>
      <c r="H268" s="19" t="s">
        <v>1079</v>
      </c>
      <c r="I268" s="24"/>
      <c r="J268" s="19"/>
      <c r="K268" s="175">
        <v>0</v>
      </c>
    </row>
    <row r="269" spans="1:11" ht="15.75" hidden="1" thickBot="1" x14ac:dyDescent="0.3">
      <c r="A269" s="185"/>
      <c r="B269" s="25" t="s">
        <v>238</v>
      </c>
      <c r="C269" s="25" t="s">
        <v>252</v>
      </c>
      <c r="D269" s="26">
        <v>1.25</v>
      </c>
      <c r="E269" s="27" t="s">
        <v>2681</v>
      </c>
      <c r="F269" s="19">
        <v>93.8125</v>
      </c>
      <c r="G269" s="27" t="s">
        <v>240</v>
      </c>
      <c r="H269" s="23">
        <v>117.265625</v>
      </c>
      <c r="I269" s="34">
        <f>SUM(H269:H273)</f>
        <v>525.12045625000007</v>
      </c>
      <c r="J269" s="35"/>
      <c r="K269" s="175">
        <v>0</v>
      </c>
    </row>
    <row r="270" spans="1:11" ht="15.75" hidden="1" thickBot="1" x14ac:dyDescent="0.3">
      <c r="A270" s="185"/>
      <c r="B270" s="25" t="s">
        <v>241</v>
      </c>
      <c r="C270" s="25" t="s">
        <v>1629</v>
      </c>
      <c r="D270" s="26">
        <v>563.59</v>
      </c>
      <c r="E270" s="27" t="s">
        <v>2681</v>
      </c>
      <c r="F270" s="23">
        <v>0.38</v>
      </c>
      <c r="G270" s="27" t="s">
        <v>242</v>
      </c>
      <c r="H270" s="23">
        <v>214.16420000000002</v>
      </c>
      <c r="I270" s="34"/>
      <c r="J270" s="35"/>
      <c r="K270" s="175">
        <v>0</v>
      </c>
    </row>
    <row r="271" spans="1:11" ht="15.75" hidden="1" thickBot="1" x14ac:dyDescent="0.3">
      <c r="A271" s="185"/>
      <c r="B271" s="25" t="s">
        <v>2626</v>
      </c>
      <c r="C271" s="25" t="s">
        <v>1366</v>
      </c>
      <c r="D271" s="26">
        <v>11.65</v>
      </c>
      <c r="E271" s="27" t="s">
        <v>2681</v>
      </c>
      <c r="F271" s="19">
        <v>14.325999999999999</v>
      </c>
      <c r="G271" s="27" t="s">
        <v>39</v>
      </c>
      <c r="H271" s="23">
        <v>166.89789999999999</v>
      </c>
      <c r="I271" s="34"/>
      <c r="J271" s="35"/>
      <c r="K271" s="175">
        <v>0</v>
      </c>
    </row>
    <row r="272" spans="1:11" ht="26.25" hidden="1" thickBot="1" x14ac:dyDescent="0.3">
      <c r="A272" s="185"/>
      <c r="B272" s="25" t="s">
        <v>251</v>
      </c>
      <c r="C272" s="25" t="s">
        <v>252</v>
      </c>
      <c r="D272" s="26">
        <f>ROUND(1*(D269),4)</f>
        <v>1.25</v>
      </c>
      <c r="E272" s="27" t="s">
        <v>17</v>
      </c>
      <c r="F272" s="19">
        <v>0.72471700000000006</v>
      </c>
      <c r="G272" s="27" t="s">
        <v>253</v>
      </c>
      <c r="H272" s="23">
        <v>0.90589625000000007</v>
      </c>
      <c r="I272" s="34"/>
      <c r="J272" s="35"/>
      <c r="K272" s="175">
        <v>0</v>
      </c>
    </row>
    <row r="273" spans="1:11" ht="39" hidden="1" thickBot="1" x14ac:dyDescent="0.3">
      <c r="A273" s="185"/>
      <c r="B273" s="25" t="s">
        <v>254</v>
      </c>
      <c r="C273" s="36" t="s">
        <v>255</v>
      </c>
      <c r="D273" s="26">
        <f>ROUND(D269*20,4)</f>
        <v>25</v>
      </c>
      <c r="E273" s="27" t="s">
        <v>17</v>
      </c>
      <c r="F273" s="19">
        <v>1.0354733999999999</v>
      </c>
      <c r="G273" s="27" t="s">
        <v>256</v>
      </c>
      <c r="H273" s="23">
        <v>25.886834999999998</v>
      </c>
      <c r="I273" s="34"/>
      <c r="J273" s="35"/>
      <c r="K273" s="175">
        <v>0</v>
      </c>
    </row>
    <row r="274" spans="1:11" ht="15.75" hidden="1" thickBot="1" x14ac:dyDescent="0.3">
      <c r="A274" s="185"/>
      <c r="B274" s="1"/>
      <c r="C274" s="36"/>
      <c r="D274" s="26"/>
      <c r="E274" s="27"/>
      <c r="F274" s="19" t="s">
        <v>1079</v>
      </c>
      <c r="G274" s="27"/>
      <c r="H274" s="23" t="s">
        <v>1079</v>
      </c>
      <c r="I274" s="34"/>
      <c r="J274" s="35"/>
      <c r="K274" s="175">
        <v>0</v>
      </c>
    </row>
    <row r="275" spans="1:11" ht="15.75" hidden="1" thickBot="1" x14ac:dyDescent="0.3">
      <c r="A275" s="185"/>
      <c r="B275" s="39" t="s">
        <v>1459</v>
      </c>
      <c r="C275" s="36"/>
      <c r="D275" s="26"/>
      <c r="E275" s="27"/>
      <c r="F275" s="19" t="s">
        <v>1079</v>
      </c>
      <c r="G275" s="27"/>
      <c r="H275" s="23" t="s">
        <v>1079</v>
      </c>
      <c r="I275" s="34"/>
      <c r="J275" s="35"/>
      <c r="K275" s="175">
        <v>0</v>
      </c>
    </row>
    <row r="276" spans="1:11" ht="15.75" hidden="1" thickBot="1" x14ac:dyDescent="0.3">
      <c r="A276" s="189"/>
      <c r="B276" s="25" t="s">
        <v>1079</v>
      </c>
      <c r="C276" s="25"/>
      <c r="D276" s="86"/>
      <c r="E276" s="27"/>
      <c r="F276" s="19" t="s">
        <v>1079</v>
      </c>
      <c r="G276" s="27"/>
      <c r="H276" s="23" t="s">
        <v>1079</v>
      </c>
      <c r="I276" s="24"/>
      <c r="J276" s="19"/>
      <c r="K276" s="175">
        <v>0</v>
      </c>
    </row>
    <row r="277" spans="1:11" ht="15.75" thickBot="1" x14ac:dyDescent="0.3">
      <c r="A277" s="268" t="s">
        <v>1351</v>
      </c>
      <c r="B277" s="274" t="s">
        <v>1079</v>
      </c>
      <c r="C277" s="265" t="s">
        <v>32</v>
      </c>
      <c r="D277" s="252"/>
      <c r="E277" s="259" t="s">
        <v>1352</v>
      </c>
      <c r="F277" s="261" t="s">
        <v>1079</v>
      </c>
      <c r="G277" s="261"/>
      <c r="H277" s="265" t="s">
        <v>1079</v>
      </c>
      <c r="I277" s="280"/>
      <c r="J277" s="18"/>
      <c r="K277" s="175">
        <v>1</v>
      </c>
    </row>
    <row r="278" spans="1:11" x14ac:dyDescent="0.25">
      <c r="A278" s="268"/>
      <c r="B278" s="155" t="s">
        <v>1079</v>
      </c>
      <c r="C278" s="155"/>
      <c r="D278" s="249"/>
      <c r="E278" s="256"/>
      <c r="F278" s="257" t="s">
        <v>1079</v>
      </c>
      <c r="G278" s="155"/>
      <c r="H278" s="257" t="s">
        <v>1079</v>
      </c>
      <c r="I278" s="281"/>
      <c r="J278" s="19"/>
      <c r="K278" s="175">
        <v>1</v>
      </c>
    </row>
    <row r="279" spans="1:11" ht="15.75" customHeight="1" x14ac:dyDescent="0.25">
      <c r="A279" s="268"/>
      <c r="B279" s="105" t="s">
        <v>2682</v>
      </c>
      <c r="C279" s="105" t="s">
        <v>2683</v>
      </c>
      <c r="D279" s="250">
        <v>1</v>
      </c>
      <c r="E279" s="176" t="s">
        <v>1352</v>
      </c>
      <c r="F279" s="257">
        <v>164.82499999999999</v>
      </c>
      <c r="G279" s="176" t="s">
        <v>2684</v>
      </c>
      <c r="H279" s="258">
        <v>164.82499999999999</v>
      </c>
      <c r="I279" s="282">
        <f>SUM(H279:H283)</f>
        <v>236.84461399999998</v>
      </c>
      <c r="J279" s="35"/>
      <c r="K279" s="175">
        <v>1</v>
      </c>
    </row>
    <row r="280" spans="1:11" x14ac:dyDescent="0.25">
      <c r="A280" s="268"/>
      <c r="B280" s="105" t="s">
        <v>2685</v>
      </c>
      <c r="C280" s="105" t="s">
        <v>1629</v>
      </c>
      <c r="D280" s="250">
        <v>1.0999999999999999E-2</v>
      </c>
      <c r="E280" s="176" t="s">
        <v>1352</v>
      </c>
      <c r="F280" s="258">
        <v>12.663499999999999</v>
      </c>
      <c r="G280" s="176" t="s">
        <v>2686</v>
      </c>
      <c r="H280" s="258">
        <v>0.13929849999999999</v>
      </c>
      <c r="I280" s="282"/>
      <c r="J280" s="35"/>
      <c r="K280" s="175">
        <v>1</v>
      </c>
    </row>
    <row r="281" spans="1:11" x14ac:dyDescent="0.25">
      <c r="A281" s="268"/>
      <c r="B281" s="105" t="s">
        <v>200</v>
      </c>
      <c r="C281" s="105" t="s">
        <v>1629</v>
      </c>
      <c r="D281" s="250">
        <v>2.4E-2</v>
      </c>
      <c r="E281" s="176" t="s">
        <v>1352</v>
      </c>
      <c r="F281" s="257">
        <v>9.613999999999999</v>
      </c>
      <c r="G281" s="176" t="s">
        <v>201</v>
      </c>
      <c r="H281" s="258">
        <v>0.23073599999999997</v>
      </c>
      <c r="I281" s="282"/>
      <c r="J281" s="35"/>
      <c r="K281" s="175">
        <v>1</v>
      </c>
    </row>
    <row r="282" spans="1:11" x14ac:dyDescent="0.25">
      <c r="A282" s="268"/>
      <c r="B282" s="105" t="s">
        <v>1365</v>
      </c>
      <c r="C282" s="105" t="s">
        <v>1366</v>
      </c>
      <c r="D282" s="250">
        <v>2.7410000000000001</v>
      </c>
      <c r="E282" s="176" t="s">
        <v>1352</v>
      </c>
      <c r="F282" s="257">
        <v>19.047499999999999</v>
      </c>
      <c r="G282" s="176" t="s">
        <v>81</v>
      </c>
      <c r="H282" s="258">
        <v>52.209197500000002</v>
      </c>
      <c r="I282" s="282"/>
      <c r="J282" s="35"/>
      <c r="K282" s="175">
        <v>1</v>
      </c>
    </row>
    <row r="283" spans="1:11" x14ac:dyDescent="0.25">
      <c r="A283" s="268"/>
      <c r="B283" s="105" t="s">
        <v>1367</v>
      </c>
      <c r="C283" s="271" t="s">
        <v>1366</v>
      </c>
      <c r="D283" s="250">
        <v>1.357</v>
      </c>
      <c r="E283" s="176" t="s">
        <v>1352</v>
      </c>
      <c r="F283" s="257">
        <v>14.325999999999999</v>
      </c>
      <c r="G283" s="176" t="s">
        <v>39</v>
      </c>
      <c r="H283" s="258">
        <v>19.440382</v>
      </c>
      <c r="I283" s="282"/>
      <c r="J283" s="35"/>
      <c r="K283" s="175">
        <v>1</v>
      </c>
    </row>
    <row r="284" spans="1:11" x14ac:dyDescent="0.25">
      <c r="A284" s="268"/>
      <c r="B284" s="225"/>
      <c r="C284" s="271"/>
      <c r="D284" s="250"/>
      <c r="E284" s="176"/>
      <c r="F284" s="257" t="s">
        <v>1079</v>
      </c>
      <c r="G284" s="176"/>
      <c r="H284" s="258" t="s">
        <v>1079</v>
      </c>
      <c r="I284" s="282"/>
      <c r="J284" s="35"/>
      <c r="K284" s="175">
        <v>1</v>
      </c>
    </row>
    <row r="285" spans="1:11" ht="15.75" hidden="1" thickBot="1" x14ac:dyDescent="0.3">
      <c r="A285" s="188" t="s">
        <v>2699</v>
      </c>
      <c r="B285" s="30" t="s">
        <v>1079</v>
      </c>
      <c r="C285" s="13" t="s">
        <v>1457</v>
      </c>
      <c r="D285" s="87"/>
      <c r="E285" s="15" t="s">
        <v>2700</v>
      </c>
      <c r="F285" s="31" t="s">
        <v>1079</v>
      </c>
      <c r="G285" s="16"/>
      <c r="H285" s="31" t="s">
        <v>1079</v>
      </c>
      <c r="I285" s="17"/>
      <c r="J285" s="18"/>
      <c r="K285" s="175">
        <v>0</v>
      </c>
    </row>
    <row r="286" spans="1:11" hidden="1" x14ac:dyDescent="0.25">
      <c r="A286" s="185"/>
      <c r="B286" s="20" t="s">
        <v>1079</v>
      </c>
      <c r="C286" s="20"/>
      <c r="D286" s="85"/>
      <c r="E286" s="43"/>
      <c r="F286" s="91" t="s">
        <v>1079</v>
      </c>
      <c r="G286" s="20"/>
      <c r="H286" s="92" t="s">
        <v>1079</v>
      </c>
      <c r="I286" s="24"/>
      <c r="J286" s="19"/>
      <c r="K286" s="175">
        <v>0</v>
      </c>
    </row>
    <row r="287" spans="1:11" ht="51" hidden="1" x14ac:dyDescent="0.25">
      <c r="A287" s="185"/>
      <c r="B287" s="25" t="s">
        <v>2393</v>
      </c>
      <c r="C287" s="25" t="s">
        <v>1691</v>
      </c>
      <c r="D287" s="26">
        <v>4.4999999999999997E-3</v>
      </c>
      <c r="E287" s="27" t="s">
        <v>2700</v>
      </c>
      <c r="F287" s="23">
        <v>97.28</v>
      </c>
      <c r="G287" s="27" t="s">
        <v>2394</v>
      </c>
      <c r="H287" s="23">
        <v>0.43775999999999998</v>
      </c>
      <c r="I287" s="34">
        <f>SUM(H287:H287)</f>
        <v>0.43775999999999998</v>
      </c>
      <c r="J287" s="35"/>
      <c r="K287" s="175">
        <v>0</v>
      </c>
    </row>
    <row r="288" spans="1:11" ht="15.75" hidden="1" thickBot="1" x14ac:dyDescent="0.3">
      <c r="A288" s="189"/>
      <c r="B288" s="47" t="s">
        <v>1079</v>
      </c>
      <c r="C288" s="47"/>
      <c r="D288" s="89"/>
      <c r="E288" s="61"/>
      <c r="F288" s="62" t="s">
        <v>1079</v>
      </c>
      <c r="G288" s="61"/>
      <c r="H288" s="62" t="s">
        <v>1079</v>
      </c>
      <c r="I288" s="64"/>
      <c r="J288" s="19"/>
      <c r="K288" s="175">
        <v>0</v>
      </c>
    </row>
    <row r="289" spans="1:11" ht="15.75" hidden="1" thickBot="1" x14ac:dyDescent="0.3">
      <c r="A289" s="185" t="s">
        <v>2701</v>
      </c>
      <c r="B289" s="48" t="s">
        <v>1079</v>
      </c>
      <c r="C289" s="83" t="s">
        <v>252</v>
      </c>
      <c r="D289" s="84"/>
      <c r="E289" s="66" t="s">
        <v>2702</v>
      </c>
      <c r="F289" s="67" t="s">
        <v>1079</v>
      </c>
      <c r="G289" s="67"/>
      <c r="H289" s="67" t="s">
        <v>1079</v>
      </c>
      <c r="I289" s="68"/>
      <c r="J289" s="18"/>
      <c r="K289" s="175">
        <v>0</v>
      </c>
    </row>
    <row r="290" spans="1:11" hidden="1" x14ac:dyDescent="0.25">
      <c r="A290" s="185"/>
      <c r="B290" s="20" t="s">
        <v>1079</v>
      </c>
      <c r="C290" s="20"/>
      <c r="D290" s="85"/>
      <c r="E290" s="43"/>
      <c r="F290" s="19" t="s">
        <v>1079</v>
      </c>
      <c r="G290" s="20"/>
      <c r="H290" s="92" t="s">
        <v>1079</v>
      </c>
      <c r="I290" s="94"/>
      <c r="J290" s="92"/>
      <c r="K290" s="175">
        <v>0</v>
      </c>
    </row>
    <row r="291" spans="1:11" hidden="1" x14ac:dyDescent="0.25">
      <c r="A291" s="185"/>
      <c r="B291" s="25" t="s">
        <v>238</v>
      </c>
      <c r="C291" s="25" t="s">
        <v>252</v>
      </c>
      <c r="D291" s="26">
        <v>1.07</v>
      </c>
      <c r="E291" s="27" t="s">
        <v>2703</v>
      </c>
      <c r="F291" s="19">
        <v>93.8125</v>
      </c>
      <c r="G291" s="27" t="s">
        <v>240</v>
      </c>
      <c r="H291" s="23">
        <v>100.37937500000001</v>
      </c>
      <c r="I291" s="34">
        <f>SUM(H291:H296)</f>
        <v>483.38494795000003</v>
      </c>
      <c r="J291" s="35"/>
      <c r="K291" s="175">
        <v>0</v>
      </c>
    </row>
    <row r="292" spans="1:11" hidden="1" x14ac:dyDescent="0.25">
      <c r="A292" s="185"/>
      <c r="B292" s="25" t="s">
        <v>2680</v>
      </c>
      <c r="C292" s="25" t="s">
        <v>1629</v>
      </c>
      <c r="D292" s="26">
        <v>75.47</v>
      </c>
      <c r="E292" s="27" t="s">
        <v>2703</v>
      </c>
      <c r="F292" s="19">
        <v>0.71249999999999991</v>
      </c>
      <c r="G292" s="27" t="s">
        <v>2640</v>
      </c>
      <c r="H292" s="23">
        <v>53.77237499999999</v>
      </c>
      <c r="I292" s="34"/>
      <c r="J292" s="35"/>
      <c r="K292" s="175">
        <v>0</v>
      </c>
    </row>
    <row r="293" spans="1:11" ht="15.75" hidden="1" customHeight="1" x14ac:dyDescent="0.25">
      <c r="A293" s="185"/>
      <c r="B293" s="25" t="s">
        <v>241</v>
      </c>
      <c r="C293" s="25" t="s">
        <v>1629</v>
      </c>
      <c r="D293" s="26">
        <v>482.96</v>
      </c>
      <c r="E293" s="27" t="s">
        <v>2703</v>
      </c>
      <c r="F293" s="23">
        <v>0.38</v>
      </c>
      <c r="G293" s="27" t="s">
        <v>242</v>
      </c>
      <c r="H293" s="23">
        <v>183.5248</v>
      </c>
      <c r="I293" s="34"/>
      <c r="J293" s="35"/>
      <c r="K293" s="175">
        <v>0</v>
      </c>
    </row>
    <row r="294" spans="1:11" hidden="1" x14ac:dyDescent="0.25">
      <c r="A294" s="185"/>
      <c r="B294" s="25" t="s">
        <v>2626</v>
      </c>
      <c r="C294" s="25" t="s">
        <v>1366</v>
      </c>
      <c r="D294" s="26">
        <v>8.57</v>
      </c>
      <c r="E294" s="27" t="s">
        <v>2703</v>
      </c>
      <c r="F294" s="19">
        <v>14.325999999999999</v>
      </c>
      <c r="G294" s="27" t="s">
        <v>39</v>
      </c>
      <c r="H294" s="23">
        <v>122.77381999999999</v>
      </c>
      <c r="I294" s="34"/>
      <c r="J294" s="35"/>
      <c r="K294" s="175">
        <v>0</v>
      </c>
    </row>
    <row r="295" spans="1:11" ht="25.5" hidden="1" x14ac:dyDescent="0.25">
      <c r="A295" s="185"/>
      <c r="B295" s="25" t="s">
        <v>251</v>
      </c>
      <c r="C295" s="25" t="s">
        <v>252</v>
      </c>
      <c r="D295" s="26">
        <f>ROUND(1*D291,4)</f>
        <v>1.07</v>
      </c>
      <c r="E295" s="27" t="s">
        <v>17</v>
      </c>
      <c r="F295" s="19">
        <v>0.72471700000000006</v>
      </c>
      <c r="G295" s="27" t="s">
        <v>253</v>
      </c>
      <c r="H295" s="23">
        <v>0.77544719000000006</v>
      </c>
      <c r="I295" s="34"/>
      <c r="J295" s="35"/>
      <c r="K295" s="175">
        <v>0</v>
      </c>
    </row>
    <row r="296" spans="1:11" ht="38.25" hidden="1" x14ac:dyDescent="0.25">
      <c r="A296" s="185"/>
      <c r="B296" s="25" t="s">
        <v>254</v>
      </c>
      <c r="C296" s="36" t="s">
        <v>255</v>
      </c>
      <c r="D296" s="26">
        <f>ROUND(D291*20,4)</f>
        <v>21.4</v>
      </c>
      <c r="E296" s="27" t="s">
        <v>17</v>
      </c>
      <c r="F296" s="19">
        <v>1.0354733999999999</v>
      </c>
      <c r="G296" s="27" t="s">
        <v>256</v>
      </c>
      <c r="H296" s="23">
        <v>22.159130759999996</v>
      </c>
      <c r="I296" s="34"/>
      <c r="J296" s="35"/>
      <c r="K296" s="175">
        <v>0</v>
      </c>
    </row>
    <row r="297" spans="1:11" hidden="1" x14ac:dyDescent="0.25">
      <c r="A297" s="185"/>
      <c r="B297" s="1"/>
      <c r="C297" s="36"/>
      <c r="D297" s="26"/>
      <c r="E297" s="27"/>
      <c r="F297" s="19" t="s">
        <v>1079</v>
      </c>
      <c r="G297" s="27"/>
      <c r="H297" s="23" t="s">
        <v>1079</v>
      </c>
      <c r="I297" s="34"/>
      <c r="J297" s="35"/>
      <c r="K297" s="175">
        <v>0</v>
      </c>
    </row>
    <row r="298" spans="1:11" hidden="1" x14ac:dyDescent="0.25">
      <c r="A298" s="185"/>
      <c r="B298" s="39" t="s">
        <v>1459</v>
      </c>
      <c r="C298" s="36"/>
      <c r="D298" s="26"/>
      <c r="E298" s="27"/>
      <c r="F298" s="19" t="s">
        <v>1079</v>
      </c>
      <c r="G298" s="27"/>
      <c r="H298" s="23" t="s">
        <v>1079</v>
      </c>
      <c r="I298" s="34"/>
      <c r="J298" s="35"/>
      <c r="K298" s="175">
        <v>0</v>
      </c>
    </row>
    <row r="299" spans="1:11" ht="15.75" hidden="1" thickBot="1" x14ac:dyDescent="0.3">
      <c r="A299" s="189"/>
      <c r="B299" s="47" t="s">
        <v>1079</v>
      </c>
      <c r="C299" s="47"/>
      <c r="D299" s="89"/>
      <c r="E299" s="61"/>
      <c r="F299" s="62" t="s">
        <v>1079</v>
      </c>
      <c r="G299" s="61"/>
      <c r="H299" s="62" t="s">
        <v>1079</v>
      </c>
      <c r="I299" s="64"/>
      <c r="J299" s="19"/>
      <c r="K299" s="175">
        <v>0</v>
      </c>
    </row>
    <row r="300" spans="1:11" ht="15.75" thickBot="1" x14ac:dyDescent="0.3">
      <c r="A300" s="268" t="s">
        <v>2098</v>
      </c>
      <c r="B300" s="269" t="s">
        <v>1079</v>
      </c>
      <c r="C300" s="270" t="s">
        <v>1629</v>
      </c>
      <c r="D300" s="248"/>
      <c r="E300" s="254" t="s">
        <v>2099</v>
      </c>
      <c r="F300" s="255" t="s">
        <v>1079</v>
      </c>
      <c r="G300" s="255"/>
      <c r="H300" s="255" t="s">
        <v>1079</v>
      </c>
      <c r="I300" s="286"/>
      <c r="J300" s="18"/>
      <c r="K300" s="175">
        <v>308.75921199999999</v>
      </c>
    </row>
    <row r="301" spans="1:11" x14ac:dyDescent="0.25">
      <c r="A301" s="268"/>
      <c r="B301" s="155" t="s">
        <v>1079</v>
      </c>
      <c r="C301" s="155"/>
      <c r="D301" s="249"/>
      <c r="E301" s="256"/>
      <c r="F301" s="257" t="s">
        <v>1079</v>
      </c>
      <c r="G301" s="155"/>
      <c r="H301" s="257" t="s">
        <v>1079</v>
      </c>
      <c r="I301" s="281"/>
      <c r="J301" s="19"/>
      <c r="K301" s="175">
        <v>308.75921199999999</v>
      </c>
    </row>
    <row r="302" spans="1:11" ht="38.25" x14ac:dyDescent="0.25">
      <c r="A302" s="268"/>
      <c r="B302" s="105" t="s">
        <v>1630</v>
      </c>
      <c r="C302" s="105" t="s">
        <v>588</v>
      </c>
      <c r="D302" s="250">
        <v>2.8159999999999998</v>
      </c>
      <c r="E302" s="176" t="s">
        <v>2099</v>
      </c>
      <c r="F302" s="257">
        <v>0.1235</v>
      </c>
      <c r="G302" s="176" t="s">
        <v>1631</v>
      </c>
      <c r="H302" s="258">
        <v>0.34777599999999997</v>
      </c>
      <c r="I302" s="282">
        <f>SUM(H302:H306)</f>
        <v>11.973710699999998</v>
      </c>
      <c r="J302" s="35"/>
      <c r="K302" s="175">
        <v>308.75921199999999</v>
      </c>
    </row>
    <row r="303" spans="1:11" ht="25.5" x14ac:dyDescent="0.25">
      <c r="A303" s="268"/>
      <c r="B303" s="105" t="s">
        <v>1016</v>
      </c>
      <c r="C303" s="105" t="s">
        <v>1629</v>
      </c>
      <c r="D303" s="250">
        <v>2.5000000000000001E-2</v>
      </c>
      <c r="E303" s="176" t="s">
        <v>2099</v>
      </c>
      <c r="F303" s="257">
        <v>12.426</v>
      </c>
      <c r="G303" s="176" t="s">
        <v>1017</v>
      </c>
      <c r="H303" s="258">
        <v>0.31065000000000004</v>
      </c>
      <c r="I303" s="282"/>
      <c r="J303" s="35"/>
      <c r="K303" s="175">
        <v>308.75921199999999</v>
      </c>
    </row>
    <row r="304" spans="1:11" x14ac:dyDescent="0.25">
      <c r="A304" s="268"/>
      <c r="B304" s="105" t="s">
        <v>1632</v>
      </c>
      <c r="C304" s="105" t="s">
        <v>1366</v>
      </c>
      <c r="D304" s="250">
        <v>3.1E-2</v>
      </c>
      <c r="E304" s="176" t="s">
        <v>2099</v>
      </c>
      <c r="F304" s="258">
        <v>14.933999999999999</v>
      </c>
      <c r="G304" s="176" t="s">
        <v>1633</v>
      </c>
      <c r="H304" s="258">
        <v>0.46295399999999998</v>
      </c>
      <c r="I304" s="282"/>
      <c r="J304" s="35"/>
      <c r="K304" s="175">
        <v>308.75921199999999</v>
      </c>
    </row>
    <row r="305" spans="1:11" ht="15.75" customHeight="1" x14ac:dyDescent="0.25">
      <c r="A305" s="268"/>
      <c r="B305" s="105" t="s">
        <v>1634</v>
      </c>
      <c r="C305" s="105" t="s">
        <v>1366</v>
      </c>
      <c r="D305" s="250">
        <v>0.18959999999999999</v>
      </c>
      <c r="E305" s="176" t="s">
        <v>2099</v>
      </c>
      <c r="F305" s="257">
        <v>19.056999999999999</v>
      </c>
      <c r="G305" s="176" t="s">
        <v>1635</v>
      </c>
      <c r="H305" s="258">
        <v>3.6132071999999997</v>
      </c>
      <c r="I305" s="282"/>
      <c r="J305" s="35"/>
      <c r="K305" s="175">
        <v>308.75921199999999</v>
      </c>
    </row>
    <row r="306" spans="1:11" ht="25.5" x14ac:dyDescent="0.25">
      <c r="A306" s="268"/>
      <c r="B306" s="105" t="s">
        <v>2687</v>
      </c>
      <c r="C306" s="271" t="s">
        <v>1629</v>
      </c>
      <c r="D306" s="250">
        <v>1</v>
      </c>
      <c r="E306" s="176" t="s">
        <v>2099</v>
      </c>
      <c r="F306" s="257">
        <v>7.2391234999999989</v>
      </c>
      <c r="G306" s="176" t="s">
        <v>2688</v>
      </c>
      <c r="H306" s="258">
        <v>7.2391234999999989</v>
      </c>
      <c r="I306" s="282"/>
      <c r="J306" s="35"/>
      <c r="K306" s="175">
        <v>308.75921199999999</v>
      </c>
    </row>
    <row r="307" spans="1:11" ht="15.75" thickBot="1" x14ac:dyDescent="0.3">
      <c r="A307" s="268"/>
      <c r="B307" s="225"/>
      <c r="C307" s="271"/>
      <c r="D307" s="250"/>
      <c r="E307" s="176"/>
      <c r="F307" s="257" t="s">
        <v>1079</v>
      </c>
      <c r="G307" s="176"/>
      <c r="H307" s="258" t="s">
        <v>1079</v>
      </c>
      <c r="I307" s="282"/>
      <c r="J307" s="35"/>
      <c r="K307" s="175">
        <v>308.75921199999999</v>
      </c>
    </row>
    <row r="308" spans="1:11" ht="15.75" hidden="1" thickBot="1" x14ac:dyDescent="0.3">
      <c r="A308" s="188" t="s">
        <v>2687</v>
      </c>
      <c r="B308" s="30" t="s">
        <v>1079</v>
      </c>
      <c r="C308" s="13" t="s">
        <v>1629</v>
      </c>
      <c r="D308" s="87"/>
      <c r="E308" s="15" t="s">
        <v>2688</v>
      </c>
      <c r="F308" s="16" t="s">
        <v>1079</v>
      </c>
      <c r="G308" s="16"/>
      <c r="H308" s="13" t="s">
        <v>1079</v>
      </c>
      <c r="I308" s="17"/>
      <c r="J308" s="18"/>
      <c r="K308" s="175">
        <v>0</v>
      </c>
    </row>
    <row r="309" spans="1:11" ht="15.75" hidden="1" customHeight="1" x14ac:dyDescent="0.3">
      <c r="A309" s="185"/>
      <c r="B309" s="20" t="s">
        <v>1079</v>
      </c>
      <c r="C309" s="20"/>
      <c r="D309" s="85"/>
      <c r="E309" s="43"/>
      <c r="F309" s="19" t="s">
        <v>1079</v>
      </c>
      <c r="G309" s="20"/>
      <c r="H309" s="92" t="s">
        <v>1079</v>
      </c>
      <c r="I309" s="94"/>
      <c r="J309" s="92"/>
      <c r="K309" s="175">
        <v>0</v>
      </c>
    </row>
    <row r="310" spans="1:11" ht="15.75" hidden="1" thickBot="1" x14ac:dyDescent="0.3">
      <c r="A310" s="185"/>
      <c r="B310" s="25" t="s">
        <v>2704</v>
      </c>
      <c r="C310" s="25" t="s">
        <v>1629</v>
      </c>
      <c r="D310" s="26">
        <v>1.07</v>
      </c>
      <c r="E310" s="27" t="s">
        <v>2688</v>
      </c>
      <c r="F310" s="23">
        <v>4.9209999999999994</v>
      </c>
      <c r="G310" s="27" t="s">
        <v>2705</v>
      </c>
      <c r="H310" s="23">
        <v>5.2654699999999997</v>
      </c>
      <c r="I310" s="34">
        <f>SUM(H310:H312)</f>
        <v>7.2391234999999989</v>
      </c>
      <c r="J310" s="35"/>
      <c r="K310" s="175">
        <v>0</v>
      </c>
    </row>
    <row r="311" spans="1:11" ht="15.75" hidden="1" thickBot="1" x14ac:dyDescent="0.3">
      <c r="A311" s="185"/>
      <c r="B311" s="25" t="s">
        <v>1632</v>
      </c>
      <c r="C311" s="25" t="s">
        <v>1366</v>
      </c>
      <c r="D311" s="26">
        <v>1.3100000000000001E-2</v>
      </c>
      <c r="E311" s="27" t="s">
        <v>2688</v>
      </c>
      <c r="F311" s="23">
        <v>14.933999999999999</v>
      </c>
      <c r="G311" s="27" t="s">
        <v>1633</v>
      </c>
      <c r="H311" s="23">
        <v>0.19563539999999999</v>
      </c>
      <c r="I311" s="34"/>
      <c r="J311" s="35"/>
      <c r="K311" s="175">
        <v>0</v>
      </c>
    </row>
    <row r="312" spans="1:11" ht="15.75" hidden="1" thickBot="1" x14ac:dyDescent="0.3">
      <c r="A312" s="185"/>
      <c r="B312" s="25" t="s">
        <v>1634</v>
      </c>
      <c r="C312" s="25" t="s">
        <v>1366</v>
      </c>
      <c r="D312" s="26">
        <v>9.3299999999999994E-2</v>
      </c>
      <c r="E312" s="27" t="s">
        <v>2688</v>
      </c>
      <c r="F312" s="19">
        <v>19.056999999999999</v>
      </c>
      <c r="G312" s="27" t="s">
        <v>1635</v>
      </c>
      <c r="H312" s="23">
        <v>1.7780180999999997</v>
      </c>
      <c r="I312" s="34"/>
      <c r="J312" s="35"/>
      <c r="K312" s="175">
        <v>0</v>
      </c>
    </row>
    <row r="313" spans="1:11" ht="15.75" hidden="1" thickBot="1" x14ac:dyDescent="0.3">
      <c r="A313" s="189"/>
      <c r="B313" s="47" t="s">
        <v>1079</v>
      </c>
      <c r="C313" s="47"/>
      <c r="D313" s="89"/>
      <c r="E313" s="61"/>
      <c r="F313" s="62" t="s">
        <v>1079</v>
      </c>
      <c r="G313" s="61"/>
      <c r="H313" s="63" t="s">
        <v>1079</v>
      </c>
      <c r="I313" s="64"/>
      <c r="J313" s="19"/>
      <c r="K313" s="175">
        <v>0</v>
      </c>
    </row>
    <row r="314" spans="1:11" ht="15.75" thickBot="1" x14ac:dyDescent="0.3">
      <c r="A314" s="273" t="s">
        <v>2100</v>
      </c>
      <c r="B314" s="274" t="s">
        <v>1079</v>
      </c>
      <c r="C314" s="265" t="s">
        <v>252</v>
      </c>
      <c r="D314" s="252"/>
      <c r="E314" s="259" t="s">
        <v>2101</v>
      </c>
      <c r="F314" s="260" t="s">
        <v>1079</v>
      </c>
      <c r="G314" s="261"/>
      <c r="H314" s="260" t="s">
        <v>1079</v>
      </c>
      <c r="I314" s="280"/>
      <c r="J314" s="18"/>
      <c r="K314" s="175">
        <v>8.6880000000000006</v>
      </c>
    </row>
    <row r="315" spans="1:11" x14ac:dyDescent="0.25">
      <c r="A315" s="268"/>
      <c r="B315" s="155" t="s">
        <v>1079</v>
      </c>
      <c r="C315" s="155"/>
      <c r="D315" s="249"/>
      <c r="E315" s="256"/>
      <c r="F315" s="262" t="s">
        <v>1079</v>
      </c>
      <c r="G315" s="155"/>
      <c r="H315" s="257" t="s">
        <v>1079</v>
      </c>
      <c r="I315" s="281"/>
      <c r="J315" s="19"/>
      <c r="K315" s="175">
        <v>8.6880000000000006</v>
      </c>
    </row>
    <row r="316" spans="1:11" ht="25.5" x14ac:dyDescent="0.25">
      <c r="A316" s="268"/>
      <c r="B316" s="105" t="s">
        <v>1455</v>
      </c>
      <c r="C316" s="105" t="s">
        <v>252</v>
      </c>
      <c r="D316" s="250">
        <v>0.80800000000000005</v>
      </c>
      <c r="E316" s="176" t="s">
        <v>2689</v>
      </c>
      <c r="F316" s="258">
        <v>93.8125</v>
      </c>
      <c r="G316" s="176" t="s">
        <v>240</v>
      </c>
      <c r="H316" s="258">
        <v>75.8005</v>
      </c>
      <c r="I316" s="282">
        <f>SUM(H316:H324)</f>
        <v>296.15659546499995</v>
      </c>
      <c r="J316" s="35"/>
      <c r="K316" s="175">
        <v>8.6880000000000006</v>
      </c>
    </row>
    <row r="317" spans="1:11" x14ac:dyDescent="0.25">
      <c r="A317" s="268"/>
      <c r="B317" s="105" t="s">
        <v>1448</v>
      </c>
      <c r="C317" s="105" t="s">
        <v>1629</v>
      </c>
      <c r="D317" s="250">
        <v>274.06</v>
      </c>
      <c r="E317" s="176" t="s">
        <v>2689</v>
      </c>
      <c r="F317" s="258">
        <v>0.38</v>
      </c>
      <c r="G317" s="176" t="s">
        <v>242</v>
      </c>
      <c r="H317" s="258">
        <v>104.14280000000001</v>
      </c>
      <c r="I317" s="282"/>
      <c r="J317" s="35"/>
      <c r="K317" s="175">
        <v>8.6880000000000006</v>
      </c>
    </row>
    <row r="318" spans="1:11" ht="25.5" x14ac:dyDescent="0.25">
      <c r="A318" s="268"/>
      <c r="B318" s="105" t="s">
        <v>1465</v>
      </c>
      <c r="C318" s="105" t="s">
        <v>252</v>
      </c>
      <c r="D318" s="250">
        <v>0.58099999999999996</v>
      </c>
      <c r="E318" s="176" t="s">
        <v>2689</v>
      </c>
      <c r="F318" s="258">
        <v>62.082499999999989</v>
      </c>
      <c r="G318" s="176" t="s">
        <v>244</v>
      </c>
      <c r="H318" s="258">
        <v>36.069932499999993</v>
      </c>
      <c r="I318" s="282"/>
      <c r="J318" s="35"/>
      <c r="K318" s="175">
        <v>8.6880000000000006</v>
      </c>
    </row>
    <row r="319" spans="1:11" x14ac:dyDescent="0.25">
      <c r="A319" s="268"/>
      <c r="B319" s="105" t="s">
        <v>1367</v>
      </c>
      <c r="C319" s="105" t="s">
        <v>1366</v>
      </c>
      <c r="D319" s="250">
        <v>2.0299999999999998</v>
      </c>
      <c r="E319" s="176" t="s">
        <v>2689</v>
      </c>
      <c r="F319" s="257">
        <v>14.325999999999999</v>
      </c>
      <c r="G319" s="176" t="s">
        <v>39</v>
      </c>
      <c r="H319" s="258">
        <v>29.081779999999995</v>
      </c>
      <c r="I319" s="282"/>
      <c r="J319" s="35"/>
      <c r="K319" s="175">
        <v>8.6880000000000006</v>
      </c>
    </row>
    <row r="320" spans="1:11" ht="25.5" x14ac:dyDescent="0.25">
      <c r="A320" s="268"/>
      <c r="B320" s="105" t="s">
        <v>2677</v>
      </c>
      <c r="C320" s="105" t="s">
        <v>1366</v>
      </c>
      <c r="D320" s="250">
        <v>1.28</v>
      </c>
      <c r="E320" s="176" t="s">
        <v>2689</v>
      </c>
      <c r="F320" s="257">
        <v>14.411499999999998</v>
      </c>
      <c r="G320" s="176" t="s">
        <v>246</v>
      </c>
      <c r="H320" s="93">
        <v>18.446719999999999</v>
      </c>
      <c r="I320" s="282"/>
      <c r="J320" s="35"/>
      <c r="K320" s="175">
        <v>8.6880000000000006</v>
      </c>
    </row>
    <row r="321" spans="1:11" ht="38.25" x14ac:dyDescent="0.25">
      <c r="A321" s="268"/>
      <c r="B321" s="105" t="s">
        <v>2537</v>
      </c>
      <c r="C321" s="105" t="s">
        <v>1691</v>
      </c>
      <c r="D321" s="250">
        <v>0.66</v>
      </c>
      <c r="E321" s="176" t="s">
        <v>2689</v>
      </c>
      <c r="F321" s="257">
        <v>3.3344999999999998</v>
      </c>
      <c r="G321" s="176" t="s">
        <v>2538</v>
      </c>
      <c r="H321" s="93">
        <v>2.2007699999999999</v>
      </c>
      <c r="I321" s="282"/>
      <c r="J321" s="35"/>
      <c r="K321" s="175">
        <v>8.6880000000000006</v>
      </c>
    </row>
    <row r="322" spans="1:11" ht="38.25" x14ac:dyDescent="0.25">
      <c r="A322" s="268"/>
      <c r="B322" s="105" t="s">
        <v>2678</v>
      </c>
      <c r="C322" s="271" t="s">
        <v>1694</v>
      </c>
      <c r="D322" s="250">
        <v>0.62</v>
      </c>
      <c r="E322" s="176" t="s">
        <v>2689</v>
      </c>
      <c r="F322" s="257">
        <v>1.0355000000000001</v>
      </c>
      <c r="G322" s="176" t="s">
        <v>2670</v>
      </c>
      <c r="H322" s="258">
        <v>0.64201000000000008</v>
      </c>
      <c r="I322" s="282"/>
      <c r="J322" s="35"/>
      <c r="K322" s="175">
        <v>8.6880000000000006</v>
      </c>
    </row>
    <row r="323" spans="1:11" ht="25.5" x14ac:dyDescent="0.25">
      <c r="A323" s="268"/>
      <c r="B323" s="105" t="s">
        <v>251</v>
      </c>
      <c r="C323" s="105" t="s">
        <v>252</v>
      </c>
      <c r="D323" s="250">
        <f>ROUND(1*(D316+D318),4)</f>
        <v>1.389</v>
      </c>
      <c r="E323" s="176" t="s">
        <v>17</v>
      </c>
      <c r="F323" s="257">
        <v>0.72471700000000006</v>
      </c>
      <c r="G323" s="176" t="s">
        <v>253</v>
      </c>
      <c r="H323" s="258">
        <v>1.0066319130000001</v>
      </c>
      <c r="I323" s="282"/>
      <c r="J323" s="35"/>
      <c r="K323" s="175">
        <v>8.6880000000000006</v>
      </c>
    </row>
    <row r="324" spans="1:11" ht="38.25" x14ac:dyDescent="0.25">
      <c r="A324" s="268"/>
      <c r="B324" s="105" t="s">
        <v>254</v>
      </c>
      <c r="C324" s="271" t="s">
        <v>255</v>
      </c>
      <c r="D324" s="250">
        <f>ROUND((D316+D318)*20,4)</f>
        <v>27.78</v>
      </c>
      <c r="E324" s="176" t="s">
        <v>17</v>
      </c>
      <c r="F324" s="257">
        <v>1.0354733999999999</v>
      </c>
      <c r="G324" s="176" t="s">
        <v>256</v>
      </c>
      <c r="H324" s="258">
        <v>28.765451052</v>
      </c>
      <c r="I324" s="282"/>
      <c r="J324" s="35"/>
      <c r="K324" s="175">
        <v>8.6880000000000006</v>
      </c>
    </row>
    <row r="325" spans="1:11" x14ac:dyDescent="0.25">
      <c r="A325" s="268"/>
      <c r="B325" s="225"/>
      <c r="C325" s="271"/>
      <c r="D325" s="250"/>
      <c r="E325" s="176"/>
      <c r="F325" s="257" t="s">
        <v>1079</v>
      </c>
      <c r="G325" s="176"/>
      <c r="H325" s="258" t="s">
        <v>1079</v>
      </c>
      <c r="I325" s="282"/>
      <c r="J325" s="35"/>
      <c r="K325" s="175">
        <v>8.6880000000000006</v>
      </c>
    </row>
    <row r="326" spans="1:11" ht="25.5" x14ac:dyDescent="0.25">
      <c r="A326" s="268"/>
      <c r="B326" s="2" t="s">
        <v>257</v>
      </c>
      <c r="C326" s="271"/>
      <c r="D326" s="250"/>
      <c r="E326" s="176"/>
      <c r="F326" s="257" t="s">
        <v>1079</v>
      </c>
      <c r="G326" s="176"/>
      <c r="H326" s="258" t="s">
        <v>1079</v>
      </c>
      <c r="I326" s="282"/>
      <c r="J326" s="35"/>
      <c r="K326" s="175">
        <v>8.6880000000000006</v>
      </c>
    </row>
    <row r="327" spans="1:11" ht="15.75" thickBot="1" x14ac:dyDescent="0.3">
      <c r="A327" s="268"/>
      <c r="B327" s="105" t="s">
        <v>1079</v>
      </c>
      <c r="C327" s="105"/>
      <c r="D327" s="251"/>
      <c r="E327" s="176"/>
      <c r="F327" s="257" t="s">
        <v>1079</v>
      </c>
      <c r="G327" s="176"/>
      <c r="H327" s="257" t="s">
        <v>1079</v>
      </c>
      <c r="I327" s="281"/>
      <c r="J327" s="19"/>
      <c r="K327" s="175">
        <v>8.6880000000000006</v>
      </c>
    </row>
    <row r="328" spans="1:11" ht="15.75" hidden="1" thickBot="1" x14ac:dyDescent="0.3">
      <c r="A328" s="188" t="s">
        <v>1915</v>
      </c>
      <c r="B328" s="30" t="s">
        <v>1079</v>
      </c>
      <c r="C328" s="13" t="s">
        <v>252</v>
      </c>
      <c r="D328" s="87"/>
      <c r="E328" s="15" t="s">
        <v>1916</v>
      </c>
      <c r="F328" s="31" t="s">
        <v>1079</v>
      </c>
      <c r="G328" s="16"/>
      <c r="H328" s="31" t="s">
        <v>1079</v>
      </c>
      <c r="I328" s="17"/>
      <c r="J328" s="18"/>
      <c r="K328" s="175">
        <v>0</v>
      </c>
    </row>
    <row r="329" spans="1:11" ht="15.75" hidden="1" thickBot="1" x14ac:dyDescent="0.3">
      <c r="A329" s="185"/>
      <c r="B329" s="20" t="s">
        <v>1079</v>
      </c>
      <c r="C329" s="20"/>
      <c r="D329" s="85"/>
      <c r="E329" s="43"/>
      <c r="F329" s="32" t="s">
        <v>1079</v>
      </c>
      <c r="G329" s="20"/>
      <c r="H329" s="19" t="s">
        <v>1079</v>
      </c>
      <c r="I329" s="24"/>
      <c r="J329" s="19"/>
      <c r="K329" s="175">
        <v>0</v>
      </c>
    </row>
    <row r="330" spans="1:11" ht="26.25" hidden="1" thickBot="1" x14ac:dyDescent="0.3">
      <c r="A330" s="185"/>
      <c r="B330" s="25" t="s">
        <v>1455</v>
      </c>
      <c r="C330" s="25" t="s">
        <v>252</v>
      </c>
      <c r="D330" s="26">
        <v>0.83199999999999996</v>
      </c>
      <c r="E330" s="27" t="s">
        <v>2690</v>
      </c>
      <c r="F330" s="23">
        <v>93.8125</v>
      </c>
      <c r="G330" s="27" t="s">
        <v>240</v>
      </c>
      <c r="H330" s="23">
        <v>78.051999999999992</v>
      </c>
      <c r="I330" s="34">
        <f>SUM(H330:H338)</f>
        <v>277.97198758999997</v>
      </c>
      <c r="J330" s="35"/>
      <c r="K330" s="175">
        <v>0</v>
      </c>
    </row>
    <row r="331" spans="1:11" ht="15.75" hidden="1" thickBot="1" x14ac:dyDescent="0.3">
      <c r="A331" s="185"/>
      <c r="B331" s="25" t="s">
        <v>1448</v>
      </c>
      <c r="C331" s="25" t="s">
        <v>1629</v>
      </c>
      <c r="D331" s="26">
        <v>213.45</v>
      </c>
      <c r="E331" s="27" t="s">
        <v>2690</v>
      </c>
      <c r="F331" s="23">
        <v>0.38</v>
      </c>
      <c r="G331" s="27" t="s">
        <v>242</v>
      </c>
      <c r="H331" s="23">
        <v>81.11099999999999</v>
      </c>
      <c r="I331" s="34"/>
      <c r="J331" s="35"/>
      <c r="K331" s="175">
        <v>0</v>
      </c>
    </row>
    <row r="332" spans="1:11" ht="26.25" hidden="1" thickBot="1" x14ac:dyDescent="0.3">
      <c r="A332" s="185"/>
      <c r="B332" s="25" t="s">
        <v>1465</v>
      </c>
      <c r="C332" s="25" t="s">
        <v>252</v>
      </c>
      <c r="D332" s="26">
        <v>0.58199999999999996</v>
      </c>
      <c r="E332" s="27" t="s">
        <v>2690</v>
      </c>
      <c r="F332" s="23">
        <v>62.082499999999989</v>
      </c>
      <c r="G332" s="27" t="s">
        <v>244</v>
      </c>
      <c r="H332" s="23">
        <v>36.132014999999988</v>
      </c>
      <c r="I332" s="34"/>
      <c r="J332" s="35"/>
      <c r="K332" s="175">
        <v>0</v>
      </c>
    </row>
    <row r="333" spans="1:11" ht="15.75" hidden="1" thickBot="1" x14ac:dyDescent="0.3">
      <c r="A333" s="185"/>
      <c r="B333" s="25" t="s">
        <v>1367</v>
      </c>
      <c r="C333" s="25" t="s">
        <v>1366</v>
      </c>
      <c r="D333" s="26">
        <v>2.11</v>
      </c>
      <c r="E333" s="27" t="s">
        <v>2690</v>
      </c>
      <c r="F333" s="19">
        <v>14.325999999999999</v>
      </c>
      <c r="G333" s="27" t="s">
        <v>39</v>
      </c>
      <c r="H333" s="23">
        <v>30.227859999999996</v>
      </c>
      <c r="I333" s="34"/>
      <c r="J333" s="35"/>
      <c r="K333" s="175">
        <v>0</v>
      </c>
    </row>
    <row r="334" spans="1:11" ht="26.25" hidden="1" thickBot="1" x14ac:dyDescent="0.3">
      <c r="A334" s="185"/>
      <c r="B334" s="25" t="s">
        <v>2677</v>
      </c>
      <c r="C334" s="25" t="s">
        <v>1366</v>
      </c>
      <c r="D334" s="26">
        <v>1.33</v>
      </c>
      <c r="E334" s="27" t="s">
        <v>2690</v>
      </c>
      <c r="F334" s="19">
        <v>14.411499999999998</v>
      </c>
      <c r="G334" s="27" t="s">
        <v>246</v>
      </c>
      <c r="H334" s="88">
        <v>19.167294999999999</v>
      </c>
      <c r="I334" s="34"/>
      <c r="J334" s="35"/>
      <c r="K334" s="175">
        <v>0</v>
      </c>
    </row>
    <row r="335" spans="1:11" ht="39" hidden="1" thickBot="1" x14ac:dyDescent="0.3">
      <c r="A335" s="185"/>
      <c r="B335" s="25" t="s">
        <v>2537</v>
      </c>
      <c r="C335" s="25" t="s">
        <v>1691</v>
      </c>
      <c r="D335" s="23">
        <v>0.69</v>
      </c>
      <c r="E335" s="23" t="s">
        <v>2690</v>
      </c>
      <c r="F335" s="19">
        <v>3.3344999999999998</v>
      </c>
      <c r="G335" s="27" t="s">
        <v>2538</v>
      </c>
      <c r="H335" s="88">
        <v>2.3008049999999995</v>
      </c>
      <c r="I335" s="34"/>
      <c r="J335" s="35"/>
      <c r="K335" s="175">
        <v>0</v>
      </c>
    </row>
    <row r="336" spans="1:11" ht="39" hidden="1" thickBot="1" x14ac:dyDescent="0.3">
      <c r="A336" s="185"/>
      <c r="B336" s="25" t="s">
        <v>2678</v>
      </c>
      <c r="C336" s="36" t="s">
        <v>1694</v>
      </c>
      <c r="D336" s="26">
        <v>0.65</v>
      </c>
      <c r="E336" s="27" t="s">
        <v>2690</v>
      </c>
      <c r="F336" s="19">
        <v>1.0355000000000001</v>
      </c>
      <c r="G336" s="27" t="s">
        <v>2670</v>
      </c>
      <c r="H336" s="23">
        <v>0.67307500000000009</v>
      </c>
      <c r="I336" s="34"/>
      <c r="J336" s="35"/>
      <c r="K336" s="175">
        <v>0</v>
      </c>
    </row>
    <row r="337" spans="1:11" ht="26.25" hidden="1" thickBot="1" x14ac:dyDescent="0.3">
      <c r="A337" s="185"/>
      <c r="B337" s="25" t="s">
        <v>251</v>
      </c>
      <c r="C337" s="25" t="s">
        <v>252</v>
      </c>
      <c r="D337" s="26">
        <f>ROUND(1*(D330+D332),4)</f>
        <v>1.4139999999999999</v>
      </c>
      <c r="E337" s="27" t="s">
        <v>17</v>
      </c>
      <c r="F337" s="19">
        <v>0.72471700000000006</v>
      </c>
      <c r="G337" s="27" t="s">
        <v>253</v>
      </c>
      <c r="H337" s="23">
        <v>1.024749838</v>
      </c>
      <c r="I337" s="34"/>
      <c r="J337" s="35"/>
      <c r="K337" s="175">
        <v>0</v>
      </c>
    </row>
    <row r="338" spans="1:11" ht="39" hidden="1" thickBot="1" x14ac:dyDescent="0.3">
      <c r="A338" s="185"/>
      <c r="B338" s="25" t="s">
        <v>254</v>
      </c>
      <c r="C338" s="36" t="s">
        <v>255</v>
      </c>
      <c r="D338" s="26">
        <f>ROUND((D330+D332)*20,4)</f>
        <v>28.28</v>
      </c>
      <c r="E338" s="27" t="s">
        <v>17</v>
      </c>
      <c r="F338" s="19">
        <v>1.0354733999999999</v>
      </c>
      <c r="G338" s="27" t="s">
        <v>256</v>
      </c>
      <c r="H338" s="23">
        <v>29.283187751999996</v>
      </c>
      <c r="I338" s="34"/>
      <c r="J338" s="35"/>
      <c r="K338" s="175">
        <v>0</v>
      </c>
    </row>
    <row r="339" spans="1:11" ht="15.75" hidden="1" thickBot="1" x14ac:dyDescent="0.3">
      <c r="A339" s="185"/>
      <c r="B339" s="1"/>
      <c r="C339" s="36"/>
      <c r="D339" s="26"/>
      <c r="E339" s="27"/>
      <c r="F339" s="19" t="s">
        <v>1079</v>
      </c>
      <c r="G339" s="27"/>
      <c r="H339" s="23" t="s">
        <v>1079</v>
      </c>
      <c r="I339" s="34"/>
      <c r="J339" s="35"/>
      <c r="K339" s="175">
        <v>0</v>
      </c>
    </row>
    <row r="340" spans="1:11" ht="26.25" hidden="1" thickBot="1" x14ac:dyDescent="0.3">
      <c r="A340" s="185"/>
      <c r="B340" s="39" t="s">
        <v>257</v>
      </c>
      <c r="C340" s="36"/>
      <c r="D340" s="26"/>
      <c r="E340" s="27"/>
      <c r="F340" s="19" t="s">
        <v>1079</v>
      </c>
      <c r="G340" s="27"/>
      <c r="H340" s="23" t="s">
        <v>1079</v>
      </c>
      <c r="I340" s="34"/>
      <c r="J340" s="35"/>
      <c r="K340" s="175">
        <v>0</v>
      </c>
    </row>
    <row r="341" spans="1:11" ht="15.75" hidden="1" thickBot="1" x14ac:dyDescent="0.3">
      <c r="A341" s="185"/>
      <c r="B341" s="25" t="s">
        <v>1079</v>
      </c>
      <c r="C341" s="25"/>
      <c r="D341" s="86"/>
      <c r="E341" s="27"/>
      <c r="F341" s="19" t="s">
        <v>1079</v>
      </c>
      <c r="G341" s="27"/>
      <c r="H341" s="19" t="s">
        <v>1079</v>
      </c>
      <c r="I341" s="24"/>
      <c r="J341" s="19"/>
      <c r="K341" s="175">
        <v>0</v>
      </c>
    </row>
    <row r="342" spans="1:11" ht="15.75" thickBot="1" x14ac:dyDescent="0.3">
      <c r="A342" s="273" t="s">
        <v>1812</v>
      </c>
      <c r="B342" s="274" t="s">
        <v>1079</v>
      </c>
      <c r="C342" s="265" t="s">
        <v>252</v>
      </c>
      <c r="D342" s="252"/>
      <c r="E342" s="259" t="s">
        <v>1813</v>
      </c>
      <c r="F342" s="261" t="s">
        <v>1079</v>
      </c>
      <c r="G342" s="261"/>
      <c r="H342" s="261" t="s">
        <v>1079</v>
      </c>
      <c r="I342" s="280"/>
      <c r="J342" s="18"/>
      <c r="K342" s="175">
        <v>3.5000000000000003E-2</v>
      </c>
    </row>
    <row r="343" spans="1:11" x14ac:dyDescent="0.25">
      <c r="A343" s="268"/>
      <c r="B343" s="155" t="s">
        <v>1079</v>
      </c>
      <c r="C343" s="155"/>
      <c r="D343" s="249"/>
      <c r="E343" s="256"/>
      <c r="F343" s="257" t="s">
        <v>1079</v>
      </c>
      <c r="G343" s="155"/>
      <c r="H343" s="257" t="s">
        <v>1079</v>
      </c>
      <c r="I343" s="281"/>
      <c r="J343" s="19"/>
      <c r="K343" s="175">
        <v>3.5000000000000003E-2</v>
      </c>
    </row>
    <row r="344" spans="1:11" ht="25.5" x14ac:dyDescent="0.25">
      <c r="A344" s="268"/>
      <c r="B344" s="105" t="s">
        <v>2369</v>
      </c>
      <c r="C344" s="105" t="s">
        <v>252</v>
      </c>
      <c r="D344" s="250">
        <v>1.02</v>
      </c>
      <c r="E344" s="176" t="s">
        <v>2691</v>
      </c>
      <c r="F344" s="257">
        <v>100.8425</v>
      </c>
      <c r="G344" s="176" t="s">
        <v>2370</v>
      </c>
      <c r="H344" s="258">
        <v>102.85935000000001</v>
      </c>
      <c r="I344" s="282">
        <f>SUM(H344:H350)</f>
        <v>324.27047869999996</v>
      </c>
      <c r="J344" s="35"/>
      <c r="K344" s="175">
        <v>3.5000000000000003E-2</v>
      </c>
    </row>
    <row r="345" spans="1:11" x14ac:dyDescent="0.25">
      <c r="A345" s="268"/>
      <c r="B345" s="105" t="s">
        <v>1448</v>
      </c>
      <c r="C345" s="105" t="s">
        <v>1629</v>
      </c>
      <c r="D345" s="250">
        <v>343.52</v>
      </c>
      <c r="E345" s="176" t="s">
        <v>2691</v>
      </c>
      <c r="F345" s="258">
        <v>0.38</v>
      </c>
      <c r="G345" s="176" t="s">
        <v>242</v>
      </c>
      <c r="H345" s="258">
        <v>130.5376</v>
      </c>
      <c r="I345" s="282"/>
      <c r="J345" s="35"/>
      <c r="K345" s="175">
        <v>3.5000000000000003E-2</v>
      </c>
    </row>
    <row r="346" spans="1:11" ht="25.5" x14ac:dyDescent="0.25">
      <c r="A346" s="268"/>
      <c r="B346" s="105" t="s">
        <v>2677</v>
      </c>
      <c r="C346" s="105" t="s">
        <v>1366</v>
      </c>
      <c r="D346" s="250">
        <v>4.6399999999999997</v>
      </c>
      <c r="E346" s="176" t="s">
        <v>2691</v>
      </c>
      <c r="F346" s="257">
        <v>14.411499999999998</v>
      </c>
      <c r="G346" s="176" t="s">
        <v>246</v>
      </c>
      <c r="H346" s="258">
        <v>66.869359999999986</v>
      </c>
      <c r="I346" s="282"/>
      <c r="J346" s="35"/>
      <c r="K346" s="175">
        <v>3.5000000000000003E-2</v>
      </c>
    </row>
    <row r="347" spans="1:11" ht="38.25" x14ac:dyDescent="0.25">
      <c r="A347" s="268"/>
      <c r="B347" s="105" t="s">
        <v>247</v>
      </c>
      <c r="C347" s="105" t="s">
        <v>1691</v>
      </c>
      <c r="D347" s="250">
        <v>1.08</v>
      </c>
      <c r="E347" s="176" t="s">
        <v>2691</v>
      </c>
      <c r="F347" s="257">
        <v>1.1684999999999999</v>
      </c>
      <c r="G347" s="176" t="s">
        <v>248</v>
      </c>
      <c r="H347" s="258">
        <v>1.2619799999999999</v>
      </c>
      <c r="I347" s="282"/>
      <c r="J347" s="35"/>
      <c r="K347" s="175">
        <v>3.5000000000000003E-2</v>
      </c>
    </row>
    <row r="348" spans="1:11" ht="38.25" x14ac:dyDescent="0.25">
      <c r="A348" s="268"/>
      <c r="B348" s="105" t="s">
        <v>249</v>
      </c>
      <c r="C348" s="105" t="s">
        <v>1694</v>
      </c>
      <c r="D348" s="250">
        <v>3.56</v>
      </c>
      <c r="E348" s="176" t="s">
        <v>2691</v>
      </c>
      <c r="F348" s="257">
        <v>0.247</v>
      </c>
      <c r="G348" s="176" t="s">
        <v>250</v>
      </c>
      <c r="H348" s="258">
        <v>0.87931999999999999</v>
      </c>
      <c r="I348" s="282"/>
      <c r="J348" s="35"/>
      <c r="K348" s="175">
        <v>3.5000000000000003E-2</v>
      </c>
    </row>
    <row r="349" spans="1:11" ht="25.5" x14ac:dyDescent="0.25">
      <c r="A349" s="268"/>
      <c r="B349" s="105" t="s">
        <v>251</v>
      </c>
      <c r="C349" s="105" t="s">
        <v>252</v>
      </c>
      <c r="D349" s="250">
        <f>ROUND(1*(D342+D344),4)</f>
        <v>1.02</v>
      </c>
      <c r="E349" s="176" t="s">
        <v>17</v>
      </c>
      <c r="F349" s="257">
        <v>0.72471700000000006</v>
      </c>
      <c r="G349" s="176" t="s">
        <v>253</v>
      </c>
      <c r="H349" s="258">
        <v>0.73921134000000011</v>
      </c>
      <c r="I349" s="282"/>
      <c r="J349" s="35"/>
      <c r="K349" s="175">
        <v>3.5000000000000003E-2</v>
      </c>
    </row>
    <row r="350" spans="1:11" ht="38.25" x14ac:dyDescent="0.25">
      <c r="A350" s="268"/>
      <c r="B350" s="105" t="s">
        <v>254</v>
      </c>
      <c r="C350" s="271" t="s">
        <v>255</v>
      </c>
      <c r="D350" s="250">
        <f>ROUND(D344*20,4)</f>
        <v>20.399999999999999</v>
      </c>
      <c r="E350" s="176" t="s">
        <v>17</v>
      </c>
      <c r="F350" s="257">
        <v>1.0354733999999999</v>
      </c>
      <c r="G350" s="176" t="s">
        <v>256</v>
      </c>
      <c r="H350" s="258">
        <v>21.123657359999996</v>
      </c>
      <c r="I350" s="282"/>
      <c r="J350" s="35"/>
      <c r="K350" s="175">
        <v>3.5000000000000003E-2</v>
      </c>
    </row>
    <row r="351" spans="1:11" x14ac:dyDescent="0.25">
      <c r="A351" s="268"/>
      <c r="B351" s="105"/>
      <c r="C351" s="105"/>
      <c r="D351" s="250"/>
      <c r="E351" s="176"/>
      <c r="F351" s="257" t="s">
        <v>1079</v>
      </c>
      <c r="G351" s="176"/>
      <c r="H351" s="258" t="s">
        <v>1079</v>
      </c>
      <c r="I351" s="282"/>
      <c r="J351" s="35"/>
      <c r="K351" s="175">
        <v>3.5000000000000003E-2</v>
      </c>
    </row>
    <row r="352" spans="1:11" x14ac:dyDescent="0.25">
      <c r="A352" s="268"/>
      <c r="B352" s="2" t="s">
        <v>1459</v>
      </c>
      <c r="C352" s="271"/>
      <c r="D352" s="250"/>
      <c r="E352" s="176"/>
      <c r="F352" s="257" t="s">
        <v>1079</v>
      </c>
      <c r="G352" s="176"/>
      <c r="H352" s="258" t="s">
        <v>1079</v>
      </c>
      <c r="I352" s="282"/>
      <c r="J352" s="35"/>
      <c r="K352" s="175">
        <v>3.5000000000000003E-2</v>
      </c>
    </row>
    <row r="353" spans="1:11" ht="15.75" thickBot="1" x14ac:dyDescent="0.3">
      <c r="A353" s="272"/>
      <c r="B353" s="275" t="s">
        <v>1079</v>
      </c>
      <c r="C353" s="275"/>
      <c r="D353" s="253"/>
      <c r="E353" s="263"/>
      <c r="F353" s="264" t="s">
        <v>1079</v>
      </c>
      <c r="G353" s="263"/>
      <c r="H353" s="266" t="s">
        <v>1079</v>
      </c>
      <c r="I353" s="284"/>
      <c r="J353" s="19"/>
      <c r="K353" s="175">
        <v>3.5000000000000003E-2</v>
      </c>
    </row>
    <row r="354" spans="1:11" ht="15.75" thickBot="1" x14ac:dyDescent="0.3">
      <c r="A354" s="273" t="s">
        <v>251</v>
      </c>
      <c r="B354" s="274" t="s">
        <v>1079</v>
      </c>
      <c r="C354" s="265" t="s">
        <v>252</v>
      </c>
      <c r="D354" s="252"/>
      <c r="E354" s="259" t="s">
        <v>253</v>
      </c>
      <c r="F354" s="261" t="s">
        <v>1079</v>
      </c>
      <c r="G354" s="261"/>
      <c r="H354" s="265" t="s">
        <v>1079</v>
      </c>
      <c r="I354" s="280"/>
      <c r="J354" s="18"/>
      <c r="K354" s="175">
        <v>65.572739999999996</v>
      </c>
    </row>
    <row r="355" spans="1:11" x14ac:dyDescent="0.25">
      <c r="A355" s="268"/>
      <c r="B355" s="155" t="s">
        <v>1079</v>
      </c>
      <c r="C355" s="155"/>
      <c r="D355" s="249"/>
      <c r="E355" s="256"/>
      <c r="F355" s="257" t="s">
        <v>1079</v>
      </c>
      <c r="G355" s="155"/>
      <c r="H355" s="257" t="s">
        <v>1079</v>
      </c>
      <c r="I355" s="281"/>
      <c r="J355" s="19"/>
      <c r="K355" s="175">
        <v>65.572739999999996</v>
      </c>
    </row>
    <row r="356" spans="1:11" ht="51" x14ac:dyDescent="0.25">
      <c r="A356" s="268"/>
      <c r="B356" s="105" t="s">
        <v>1984</v>
      </c>
      <c r="C356" s="105" t="s">
        <v>1691</v>
      </c>
      <c r="D356" s="250">
        <v>7.0000000000000001E-3</v>
      </c>
      <c r="E356" s="176" t="s">
        <v>253</v>
      </c>
      <c r="F356" s="257">
        <v>103.53100000000001</v>
      </c>
      <c r="G356" s="176" t="s">
        <v>1985</v>
      </c>
      <c r="H356" s="258">
        <v>0.72471700000000006</v>
      </c>
      <c r="I356" s="282">
        <f>SUM(H356:H356)</f>
        <v>0.72471700000000006</v>
      </c>
      <c r="J356" s="35"/>
      <c r="K356" s="175">
        <v>65.572739999999996</v>
      </c>
    </row>
    <row r="357" spans="1:11" ht="15.75" thickBot="1" x14ac:dyDescent="0.3">
      <c r="A357" s="272"/>
      <c r="B357" s="275" t="s">
        <v>1079</v>
      </c>
      <c r="C357" s="275"/>
      <c r="D357" s="253"/>
      <c r="E357" s="263"/>
      <c r="F357" s="264" t="s">
        <v>1079</v>
      </c>
      <c r="G357" s="263"/>
      <c r="H357" s="266" t="s">
        <v>1079</v>
      </c>
      <c r="I357" s="284"/>
      <c r="J357" s="19"/>
      <c r="K357" s="175">
        <v>65.572739999999996</v>
      </c>
    </row>
    <row r="358" spans="1:11" ht="15.75" hidden="1" thickBot="1" x14ac:dyDescent="0.3">
      <c r="A358" s="188" t="s">
        <v>251</v>
      </c>
      <c r="B358" s="30" t="s">
        <v>1079</v>
      </c>
      <c r="C358" s="13" t="s">
        <v>2372</v>
      </c>
      <c r="D358" s="87"/>
      <c r="E358" s="15" t="s">
        <v>1965</v>
      </c>
      <c r="F358" s="16" t="s">
        <v>1079</v>
      </c>
      <c r="G358" s="16"/>
      <c r="H358" s="13" t="s">
        <v>1079</v>
      </c>
      <c r="I358" s="17"/>
      <c r="J358" s="18"/>
      <c r="K358" s="175">
        <v>0</v>
      </c>
    </row>
    <row r="359" spans="1:11" hidden="1" x14ac:dyDescent="0.25">
      <c r="A359" s="185"/>
      <c r="B359" s="20" t="s">
        <v>1079</v>
      </c>
      <c r="C359" s="20"/>
      <c r="D359" s="85"/>
      <c r="E359" s="43"/>
      <c r="F359" s="19" t="s">
        <v>1079</v>
      </c>
      <c r="G359" s="20"/>
      <c r="H359" s="19" t="s">
        <v>1079</v>
      </c>
      <c r="I359" s="24"/>
      <c r="J359" s="19"/>
      <c r="K359" s="175">
        <v>0</v>
      </c>
    </row>
    <row r="360" spans="1:11" ht="51" hidden="1" x14ac:dyDescent="0.25">
      <c r="A360" s="185"/>
      <c r="B360" s="25" t="s">
        <v>1984</v>
      </c>
      <c r="C360" s="25" t="s">
        <v>1691</v>
      </c>
      <c r="D360" s="26">
        <v>4.7000000000000002E-3</v>
      </c>
      <c r="E360" s="27" t="s">
        <v>1965</v>
      </c>
      <c r="F360" s="19">
        <v>103.53100000000001</v>
      </c>
      <c r="G360" s="27" t="s">
        <v>1985</v>
      </c>
      <c r="H360" s="23">
        <v>0.48659570000000002</v>
      </c>
      <c r="I360" s="34">
        <f>SUM(H360:H360)</f>
        <v>0.48659570000000002</v>
      </c>
      <c r="J360" s="35"/>
      <c r="K360" s="175">
        <v>0</v>
      </c>
    </row>
    <row r="361" spans="1:11" ht="15.75" hidden="1" thickBot="1" x14ac:dyDescent="0.3">
      <c r="A361" s="189"/>
      <c r="B361" s="47" t="s">
        <v>1079</v>
      </c>
      <c r="C361" s="47"/>
      <c r="D361" s="89"/>
      <c r="E361" s="61"/>
      <c r="F361" s="62" t="s">
        <v>1079</v>
      </c>
      <c r="G361" s="61"/>
      <c r="H361" s="63" t="s">
        <v>1079</v>
      </c>
      <c r="I361" s="64"/>
      <c r="J361" s="19"/>
      <c r="K361" s="175">
        <v>0</v>
      </c>
    </row>
  </sheetData>
  <sheetProtection algorithmName="SHA-512" hashValue="WDMhidhdCsSzl0OojvEUHZKVxhNxnNNaRUDxkfUF60QOOJZhULrDuUfZw2EdSDm/K60m/vL0jMSpUEMGwVfrqg==" saltValue="CRTquldCe4bgKAhxy5gjgQ==" spinCount="100000" sheet="1" objects="1" scenarios="1"/>
  <protectedRanges>
    <protectedRange sqref="E209:E213" name="COTACOES_92_5_1"/>
    <protectedRange sqref="E209:E213" name="COTACOES_1_12_13_1_1_1"/>
    <protectedRange sqref="G211:G213" name="COTACOES_92_9"/>
    <protectedRange sqref="G211:G213" name="COTACOES_1_12_13_1_1"/>
    <protectedRange sqref="G57 G75 G92 G102 G164 G176 G247 G232:G233 G296 G306 E307 G321:G322 G336 G347:G348 E11:E14 E163:E166 E56:E59 E74:E77 E91:E94 E101:E104 E175:E178 G235 G249 E234:E237 E248:E251 E262:E263 E272:E273 E295:E298 G324 E323:E326 G338 E337:E340 G350 E349:E352 G12" name="COTACOES_92_8"/>
    <protectedRange sqref="G57 G75 G92 G102 G164 G176 G247 G232:G233 G296 G306 E307 G321:G322 G336 G347:G348 E11:E14 E163:E166 E56:E59 E74:E77 E91:E94 E101:E104 E175:E178 G235 G249 E234:E237 E248:E251 E262:E263 E272:E273 E295:E298 G324 E323:E326 G338 E337:E340 G350 E349:E352 G12" name="COTACOES_1_12_13_1"/>
    <protectedRange sqref="E264:E265 G263" name="COTACOES_92_8_1"/>
    <protectedRange sqref="E264:E265 G263" name="COTACOES_1_12_13_1_2"/>
    <protectedRange sqref="E274:E275 G273 G283 E284" name="COTACOES_92_8_2"/>
    <protectedRange sqref="E274:E275 G273 G283 E284" name="COTACOES_1_12_13_1_3"/>
  </protectedRanges>
  <autoFilter ref="A5:K361">
    <filterColumn colId="10">
      <filters>
        <filter val="0,0202"/>
        <filter val="0,0350"/>
        <filter val="0,0861"/>
        <filter val="0,1396"/>
        <filter val="0,3770"/>
        <filter val="0,7989"/>
        <filter val="1,0000"/>
        <filter val="1,6332"/>
        <filter val="1,6752"/>
        <filter val="1.311,4548"/>
        <filter val="2,0000"/>
        <filter val="222,4800"/>
        <filter val="25,9325"/>
        <filter val="29,8437"/>
        <filter val="308,7592"/>
        <filter val="5,5994"/>
        <filter val="5,8300"/>
        <filter val="65,5727"/>
        <filter val="8,6880"/>
        <filter val="8,8679"/>
      </filters>
    </filterColumn>
  </autoFilter>
  <mergeCells count="43">
    <mergeCell ref="A314:A327"/>
    <mergeCell ref="A328:A341"/>
    <mergeCell ref="A342:A353"/>
    <mergeCell ref="A354:A357"/>
    <mergeCell ref="A358:A361"/>
    <mergeCell ref="A215:A219"/>
    <mergeCell ref="A220:A224"/>
    <mergeCell ref="A239:A252"/>
    <mergeCell ref="A253:A266"/>
    <mergeCell ref="A267:A276"/>
    <mergeCell ref="A198:A202"/>
    <mergeCell ref="A203:A206"/>
    <mergeCell ref="A207:A214"/>
    <mergeCell ref="A154:A167"/>
    <mergeCell ref="A168:A179"/>
    <mergeCell ref="A106:A111"/>
    <mergeCell ref="A112:A117"/>
    <mergeCell ref="A118:A123"/>
    <mergeCell ref="A124:A129"/>
    <mergeCell ref="A192:A197"/>
    <mergeCell ref="A180:A185"/>
    <mergeCell ref="A186:A191"/>
    <mergeCell ref="A130:A135"/>
    <mergeCell ref="A136:A141"/>
    <mergeCell ref="A142:A147"/>
    <mergeCell ref="A148:A153"/>
    <mergeCell ref="A61:A68"/>
    <mergeCell ref="A69:A78"/>
    <mergeCell ref="A79:A85"/>
    <mergeCell ref="A86:A95"/>
    <mergeCell ref="A96:A105"/>
    <mergeCell ref="A285:A288"/>
    <mergeCell ref="A289:A299"/>
    <mergeCell ref="A300:A307"/>
    <mergeCell ref="A308:A313"/>
    <mergeCell ref="A225:A238"/>
    <mergeCell ref="A277:A284"/>
    <mergeCell ref="A48:A60"/>
    <mergeCell ref="A6:A15"/>
    <mergeCell ref="A16:A20"/>
    <mergeCell ref="A21:A26"/>
    <mergeCell ref="A27:A37"/>
    <mergeCell ref="A38:A47"/>
  </mergeCells>
  <conditionalFormatting sqref="G141 G136:G137">
    <cfRule type="containsText" dxfId="124" priority="105" operator="containsText" text="Pesquisa">
      <formula>NOT(ISERROR(SEARCH("Pesquisa",G136)))</formula>
    </cfRule>
  </conditionalFormatting>
  <conditionalFormatting sqref="G38:G39 G47">
    <cfRule type="containsText" dxfId="123" priority="104" operator="containsText" text="Pesquisa">
      <formula>NOT(ISERROR(SEARCH("Pesquisa",G38)))</formula>
    </cfRule>
  </conditionalFormatting>
  <conditionalFormatting sqref="G16:G17 G20">
    <cfRule type="containsText" dxfId="122" priority="102" operator="containsText" text="Pesquisa">
      <formula>NOT(ISERROR(SEARCH("Pesquisa",G16)))</formula>
    </cfRule>
  </conditionalFormatting>
  <conditionalFormatting sqref="G21:G22 G26">
    <cfRule type="containsText" dxfId="121" priority="101" operator="containsText" text="Pesquisa">
      <formula>NOT(ISERROR(SEARCH("Pesquisa",G21)))</formula>
    </cfRule>
  </conditionalFormatting>
  <conditionalFormatting sqref="G8:G10 G18:G19 G23:G25 G29:G36 G40:G46 G50:G55 G63:G67 G71:G73 G81:G84 G88:G90 G98:G100 G108:G110 G114:G116 G120:G122 G126:G128 G132:G134 G138:G140 G144:G146 G13:G14">
    <cfRule type="containsText" dxfId="120" priority="100" operator="containsText" text="Pesquisa">
      <formula>NOT(ISERROR(SEARCH("Pesquisa",G8)))</formula>
    </cfRule>
  </conditionalFormatting>
  <conditionalFormatting sqref="G167 G154:G155">
    <cfRule type="containsText" dxfId="119" priority="97" operator="containsText" text="Pesquisa">
      <formula>NOT(ISERROR(SEARCH("Pesquisa",G154)))</formula>
    </cfRule>
  </conditionalFormatting>
  <conditionalFormatting sqref="G197 G192:G193">
    <cfRule type="containsText" dxfId="118" priority="89" operator="containsText" text="Pesquisa">
      <formula>NOT(ISERROR(SEARCH("Pesquisa",G192)))</formula>
    </cfRule>
  </conditionalFormatting>
  <conditionalFormatting sqref="G194">
    <cfRule type="containsText" dxfId="117" priority="88" operator="containsText" text="Pesquisa">
      <formula>NOT(ISERROR(SEARCH("Pesquisa",G194)))</formula>
    </cfRule>
  </conditionalFormatting>
  <conditionalFormatting sqref="G85 G79:G80">
    <cfRule type="containsText" dxfId="116" priority="117" operator="containsText" text="Pesquisa">
      <formula>NOT(ISERROR(SEARCH("Pesquisa",G79)))</formula>
    </cfRule>
  </conditionalFormatting>
  <conditionalFormatting sqref="G95 G86:G87">
    <cfRule type="containsText" dxfId="115" priority="116" operator="containsText" text="Pesquisa">
      <formula>NOT(ISERROR(SEARCH("Pesquisa",G86)))</formula>
    </cfRule>
  </conditionalFormatting>
  <conditionalFormatting sqref="G105 G96:G97">
    <cfRule type="containsText" dxfId="114" priority="115" operator="containsText" text="Pesquisa">
      <formula>NOT(ISERROR(SEARCH("Pesquisa",G96)))</formula>
    </cfRule>
  </conditionalFormatting>
  <conditionalFormatting sqref="G111 G106:G107">
    <cfRule type="containsText" dxfId="113" priority="114" operator="containsText" text="Pesquisa">
      <formula>NOT(ISERROR(SEARCH("Pesquisa",G106)))</formula>
    </cfRule>
  </conditionalFormatting>
  <conditionalFormatting sqref="G117 G112:G113">
    <cfRule type="containsText" dxfId="112" priority="113" operator="containsText" text="Pesquisa">
      <formula>NOT(ISERROR(SEARCH("Pesquisa",G112)))</formula>
    </cfRule>
  </conditionalFormatting>
  <conditionalFormatting sqref="G123 G118:G119">
    <cfRule type="containsText" dxfId="111" priority="112" operator="containsText" text="Pesquisa">
      <formula>NOT(ISERROR(SEARCH("Pesquisa",G118)))</formula>
    </cfRule>
  </conditionalFormatting>
  <conditionalFormatting sqref="G129 G124:G125">
    <cfRule type="containsText" dxfId="110" priority="111" operator="containsText" text="Pesquisa">
      <formula>NOT(ISERROR(SEARCH("Pesquisa",G124)))</formula>
    </cfRule>
  </conditionalFormatting>
  <conditionalFormatting sqref="G135 G130:G131">
    <cfRule type="containsText" dxfId="109" priority="110" operator="containsText" text="Pesquisa">
      <formula>NOT(ISERROR(SEARCH("Pesquisa",G130)))</formula>
    </cfRule>
  </conditionalFormatting>
  <conditionalFormatting sqref="G147 G142:G143">
    <cfRule type="containsText" dxfId="108" priority="109" operator="containsText" text="Pesquisa">
      <formula>NOT(ISERROR(SEARCH("Pesquisa",G142)))</formula>
    </cfRule>
  </conditionalFormatting>
  <conditionalFormatting sqref="G168:G169">
    <cfRule type="containsText" dxfId="107" priority="108" operator="containsText" text="Pesquisa">
      <formula>NOT(ISERROR(SEARCH("Pesquisa",G168)))</formula>
    </cfRule>
  </conditionalFormatting>
  <conditionalFormatting sqref="G170:G174">
    <cfRule type="containsText" dxfId="106" priority="99" operator="containsText" text="Pesquisa">
      <formula>NOT(ISERROR(SEARCH("Pesquisa",G170)))</formula>
    </cfRule>
  </conditionalFormatting>
  <conditionalFormatting sqref="G156:G162">
    <cfRule type="containsText" dxfId="105" priority="96" operator="containsText" text="Pesquisa">
      <formula>NOT(ISERROR(SEARCH("Pesquisa",G156)))</formula>
    </cfRule>
  </conditionalFormatting>
  <conditionalFormatting sqref="G150:G152">
    <cfRule type="containsText" dxfId="104" priority="94" operator="containsText" text="Pesquisa">
      <formula>NOT(ISERROR(SEARCH("Pesquisa",G150)))</formula>
    </cfRule>
  </conditionalFormatting>
  <conditionalFormatting sqref="G180:G181">
    <cfRule type="containsText" dxfId="103" priority="93" operator="containsText" text="Pesquisa">
      <formula>NOT(ISERROR(SEARCH("Pesquisa",G180)))</formula>
    </cfRule>
  </conditionalFormatting>
  <conditionalFormatting sqref="G182:G184">
    <cfRule type="containsText" dxfId="102" priority="92" operator="containsText" text="Pesquisa">
      <formula>NOT(ISERROR(SEARCH("Pesquisa",G182)))</formula>
    </cfRule>
  </conditionalFormatting>
  <conditionalFormatting sqref="G191 G186:G187">
    <cfRule type="containsText" dxfId="101" priority="91" operator="containsText" text="Pesquisa">
      <formula>NOT(ISERROR(SEARCH("Pesquisa",G186)))</formula>
    </cfRule>
  </conditionalFormatting>
  <conditionalFormatting sqref="G188:G190">
    <cfRule type="containsText" dxfId="100" priority="90" operator="containsText" text="Pesquisa">
      <formula>NOT(ISERROR(SEARCH("Pesquisa",G188)))</formula>
    </cfRule>
  </conditionalFormatting>
  <conditionalFormatting sqref="G202 G198:G199">
    <cfRule type="containsText" dxfId="99" priority="87" operator="containsText" text="Pesquisa">
      <formula>NOT(ISERROR(SEARCH("Pesquisa",G198)))</formula>
    </cfRule>
  </conditionalFormatting>
  <conditionalFormatting sqref="G200:G201">
    <cfRule type="containsText" dxfId="98" priority="86" operator="containsText" text="Pesquisa">
      <formula>NOT(ISERROR(SEARCH("Pesquisa",G200)))</formula>
    </cfRule>
  </conditionalFormatting>
  <conditionalFormatting sqref="G195:G196">
    <cfRule type="containsText" dxfId="97" priority="85" operator="containsText" text="Pesquisa">
      <formula>NOT(ISERROR(SEARCH("Pesquisa",G195)))</formula>
    </cfRule>
  </conditionalFormatting>
  <conditionalFormatting sqref="G206 G203:G204">
    <cfRule type="containsText" dxfId="96" priority="84" operator="containsText" text="Pesquisa">
      <formula>NOT(ISERROR(SEARCH("Pesquisa",G203)))</formula>
    </cfRule>
  </conditionalFormatting>
  <conditionalFormatting sqref="G205">
    <cfRule type="containsText" dxfId="95" priority="83" operator="containsText" text="Pesquisa">
      <formula>NOT(ISERROR(SEARCH("Pesquisa",G205)))</formula>
    </cfRule>
  </conditionalFormatting>
  <conditionalFormatting sqref="G207:G208 G214">
    <cfRule type="containsText" dxfId="94" priority="82" operator="containsText" text="Pesquisa">
      <formula>NOT(ISERROR(SEARCH("Pesquisa",G207)))</formula>
    </cfRule>
  </conditionalFormatting>
  <conditionalFormatting sqref="G219 G215:G216">
    <cfRule type="containsText" dxfId="93" priority="78" operator="containsText" text="Pesquisa">
      <formula>NOT(ISERROR(SEARCH("Pesquisa",G215)))</formula>
    </cfRule>
  </conditionalFormatting>
  <conditionalFormatting sqref="G217:G218">
    <cfRule type="containsText" dxfId="92" priority="77" operator="containsText" text="Pesquisa">
      <formula>NOT(ISERROR(SEARCH("Pesquisa",G217)))</formula>
    </cfRule>
  </conditionalFormatting>
  <conditionalFormatting sqref="G58:G59">
    <cfRule type="containsText" dxfId="91" priority="76" operator="containsText" text="Pesquisa">
      <formula>NOT(ISERROR(SEARCH("Pesquisa",G58)))</formula>
    </cfRule>
  </conditionalFormatting>
  <conditionalFormatting sqref="G76:G77">
    <cfRule type="containsText" dxfId="90" priority="75" operator="containsText" text="Pesquisa">
      <formula>NOT(ISERROR(SEARCH("Pesquisa",G76)))</formula>
    </cfRule>
  </conditionalFormatting>
  <conditionalFormatting sqref="G93:G94">
    <cfRule type="containsText" dxfId="89" priority="74" operator="containsText" text="Pesquisa">
      <formula>NOT(ISERROR(SEARCH("Pesquisa",G93)))</formula>
    </cfRule>
  </conditionalFormatting>
  <conditionalFormatting sqref="G103:G104">
    <cfRule type="containsText" dxfId="88" priority="73" operator="containsText" text="Pesquisa">
      <formula>NOT(ISERROR(SEARCH("Pesquisa",G103)))</formula>
    </cfRule>
  </conditionalFormatting>
  <conditionalFormatting sqref="G165:G166">
    <cfRule type="containsText" dxfId="87" priority="72" operator="containsText" text="Pesquisa">
      <formula>NOT(ISERROR(SEARCH("Pesquisa",G165)))</formula>
    </cfRule>
  </conditionalFormatting>
  <conditionalFormatting sqref="G179">
    <cfRule type="containsText" dxfId="86" priority="71" operator="containsText" text="Pesquisa">
      <formula>NOT(ISERROR(SEARCH("Pesquisa",G179)))</formula>
    </cfRule>
  </conditionalFormatting>
  <conditionalFormatting sqref="G177:G178">
    <cfRule type="containsText" dxfId="85" priority="70" operator="containsText" text="Pesquisa">
      <formula>NOT(ISERROR(SEARCH("Pesquisa",G177)))</formula>
    </cfRule>
  </conditionalFormatting>
  <conditionalFormatting sqref="G185">
    <cfRule type="containsText" dxfId="84" priority="69" operator="containsText" text="Pesquisa">
      <formula>NOT(ISERROR(SEARCH("Pesquisa",G185)))</formula>
    </cfRule>
  </conditionalFormatting>
  <conditionalFormatting sqref="G252 G239:G240">
    <cfRule type="containsText" dxfId="83" priority="61" operator="containsText" text="Pesquisa">
      <formula>NOT(ISERROR(SEARCH("Pesquisa",G239)))</formula>
    </cfRule>
  </conditionalFormatting>
  <conditionalFormatting sqref="G241:G246">
    <cfRule type="containsText" dxfId="82" priority="60" operator="containsText" text="Pesquisa">
      <formula>NOT(ISERROR(SEARCH("Pesquisa",G241)))</formula>
    </cfRule>
  </conditionalFormatting>
  <conditionalFormatting sqref="G250:G251">
    <cfRule type="containsText" dxfId="81" priority="59" operator="containsText" text="Pesquisa">
      <formula>NOT(ISERROR(SEARCH("Pesquisa",G250)))</formula>
    </cfRule>
  </conditionalFormatting>
  <conditionalFormatting sqref="G238 G225:G226">
    <cfRule type="containsText" dxfId="80" priority="58" operator="containsText" text="Pesquisa">
      <formula>NOT(ISERROR(SEARCH("Pesquisa",G225)))</formula>
    </cfRule>
  </conditionalFormatting>
  <conditionalFormatting sqref="G227:G231">
    <cfRule type="containsText" dxfId="79" priority="57" operator="containsText" text="Pesquisa">
      <formula>NOT(ISERROR(SEARCH("Pesquisa",G227)))</formula>
    </cfRule>
  </conditionalFormatting>
  <conditionalFormatting sqref="G236:G237">
    <cfRule type="containsText" dxfId="78" priority="56" operator="containsText" text="Pesquisa">
      <formula>NOT(ISERROR(SEARCH("Pesquisa",G236)))</formula>
    </cfRule>
  </conditionalFormatting>
  <conditionalFormatting sqref="G224 G220:G221">
    <cfRule type="containsText" dxfId="77" priority="55" operator="containsText" text="Pesquisa">
      <formula>NOT(ISERROR(SEARCH("Pesquisa",G220)))</formula>
    </cfRule>
  </conditionalFormatting>
  <conditionalFormatting sqref="G222:G223">
    <cfRule type="containsText" dxfId="76" priority="54" operator="containsText" text="Pesquisa">
      <formula>NOT(ISERROR(SEARCH("Pesquisa",G222)))</formula>
    </cfRule>
  </conditionalFormatting>
  <conditionalFormatting sqref="G266 G253:G254">
    <cfRule type="containsText" dxfId="75" priority="53" operator="containsText" text="Pesquisa">
      <formula>NOT(ISERROR(SEARCH("Pesquisa",G253)))</formula>
    </cfRule>
  </conditionalFormatting>
  <conditionalFormatting sqref="G255:G261">
    <cfRule type="containsText" dxfId="74" priority="52" operator="containsText" text="Pesquisa">
      <formula>NOT(ISERROR(SEARCH("Pesquisa",G255)))</formula>
    </cfRule>
  </conditionalFormatting>
  <conditionalFormatting sqref="G264:G265">
    <cfRule type="containsText" dxfId="73" priority="51" operator="containsText" text="Pesquisa">
      <formula>NOT(ISERROR(SEARCH("Pesquisa",G264)))</formula>
    </cfRule>
  </conditionalFormatting>
  <conditionalFormatting sqref="G269:G271 G274:G275">
    <cfRule type="containsText" dxfId="72" priority="49" operator="containsText" text="Pesquisa">
      <formula>NOT(ISERROR(SEARCH("Pesquisa",G269)))</formula>
    </cfRule>
  </conditionalFormatting>
  <conditionalFormatting sqref="G276 G267:G268">
    <cfRule type="containsText" dxfId="71" priority="50" operator="containsText" text="Pesquisa">
      <formula>NOT(ISERROR(SEARCH("Pesquisa",G267)))</formula>
    </cfRule>
  </conditionalFormatting>
  <conditionalFormatting sqref="G277:G278">
    <cfRule type="containsText" dxfId="70" priority="48" operator="containsText" text="Pesquisa">
      <formula>NOT(ISERROR(SEARCH("Pesquisa",G277)))</formula>
    </cfRule>
  </conditionalFormatting>
  <conditionalFormatting sqref="G282">
    <cfRule type="containsText" dxfId="69" priority="46" operator="containsText" text="Pesquisa">
      <formula>NOT(ISERROR(SEARCH("Pesquisa",G282)))</formula>
    </cfRule>
  </conditionalFormatting>
  <conditionalFormatting sqref="G288 G285:G286">
    <cfRule type="containsText" dxfId="68" priority="45" operator="containsText" text="Pesquisa">
      <formula>NOT(ISERROR(SEARCH("Pesquisa",G285)))</formula>
    </cfRule>
  </conditionalFormatting>
  <conditionalFormatting sqref="G287">
    <cfRule type="containsText" dxfId="67" priority="44" operator="containsText" text="Pesquisa">
      <formula>NOT(ISERROR(SEARCH("Pesquisa",G287)))</formula>
    </cfRule>
  </conditionalFormatting>
  <conditionalFormatting sqref="G289:G290">
    <cfRule type="containsText" dxfId="66" priority="43" operator="containsText" text="Pesquisa">
      <formula>NOT(ISERROR(SEARCH("Pesquisa",G289)))</formula>
    </cfRule>
  </conditionalFormatting>
  <conditionalFormatting sqref="G291 G297:G298 G293:G294">
    <cfRule type="containsText" dxfId="65" priority="42" operator="containsText" text="Pesquisa">
      <formula>NOT(ISERROR(SEARCH("Pesquisa",G291)))</formula>
    </cfRule>
  </conditionalFormatting>
  <conditionalFormatting sqref="G292">
    <cfRule type="containsText" dxfId="64" priority="41" operator="containsText" text="Pesquisa">
      <formula>NOT(ISERROR(SEARCH("Pesquisa",G292)))</formula>
    </cfRule>
  </conditionalFormatting>
  <conditionalFormatting sqref="G301">
    <cfRule type="containsText" dxfId="63" priority="40" operator="containsText" text="Pesquisa">
      <formula>NOT(ISERROR(SEARCH("Pesquisa",G301)))</formula>
    </cfRule>
  </conditionalFormatting>
  <conditionalFormatting sqref="G302 G307 G304:G305">
    <cfRule type="containsText" dxfId="62" priority="39" operator="containsText" text="Pesquisa">
      <formula>NOT(ISERROR(SEARCH("Pesquisa",G302)))</formula>
    </cfRule>
  </conditionalFormatting>
  <conditionalFormatting sqref="G303">
    <cfRule type="containsText" dxfId="61" priority="38" operator="containsText" text="Pesquisa">
      <formula>NOT(ISERROR(SEARCH("Pesquisa",G303)))</formula>
    </cfRule>
  </conditionalFormatting>
  <conditionalFormatting sqref="G300">
    <cfRule type="containsText" dxfId="60" priority="37" operator="containsText" text="Pesquisa">
      <formula>NOT(ISERROR(SEARCH("Pesquisa",G300)))</formula>
    </cfRule>
  </conditionalFormatting>
  <conditionalFormatting sqref="G299">
    <cfRule type="containsText" dxfId="59" priority="36" operator="containsText" text="Pesquisa">
      <formula>NOT(ISERROR(SEARCH("Pesquisa",G299)))</formula>
    </cfRule>
  </conditionalFormatting>
  <conditionalFormatting sqref="G313 G308:G309">
    <cfRule type="containsText" dxfId="58" priority="35" operator="containsText" text="Pesquisa">
      <formula>NOT(ISERROR(SEARCH("Pesquisa",G308)))</formula>
    </cfRule>
  </conditionalFormatting>
  <conditionalFormatting sqref="G310">
    <cfRule type="containsText" dxfId="57" priority="34" operator="containsText" text="Pesquisa">
      <formula>NOT(ISERROR(SEARCH("Pesquisa",G310)))</formula>
    </cfRule>
  </conditionalFormatting>
  <conditionalFormatting sqref="G311:G312">
    <cfRule type="containsText" dxfId="56" priority="33" operator="containsText" text="Pesquisa">
      <formula>NOT(ISERROR(SEARCH("Pesquisa",G311)))</formula>
    </cfRule>
  </conditionalFormatting>
  <conditionalFormatting sqref="G327 G314:G315">
    <cfRule type="containsText" dxfId="55" priority="32" operator="containsText" text="Pesquisa">
      <formula>NOT(ISERROR(SEARCH("Pesquisa",G314)))</formula>
    </cfRule>
  </conditionalFormatting>
  <conditionalFormatting sqref="G316:G320">
    <cfRule type="containsText" dxfId="54" priority="31" operator="containsText" text="Pesquisa">
      <formula>NOT(ISERROR(SEARCH("Pesquisa",G316)))</formula>
    </cfRule>
  </conditionalFormatting>
  <conditionalFormatting sqref="G325:G326">
    <cfRule type="containsText" dxfId="53" priority="30" operator="containsText" text="Pesquisa">
      <formula>NOT(ISERROR(SEARCH("Pesquisa",G325)))</formula>
    </cfRule>
  </conditionalFormatting>
  <conditionalFormatting sqref="G341 G328:G329">
    <cfRule type="containsText" dxfId="52" priority="29" operator="containsText" text="Pesquisa">
      <formula>NOT(ISERROR(SEARCH("Pesquisa",G328)))</formula>
    </cfRule>
  </conditionalFormatting>
  <conditionalFormatting sqref="G330:G335">
    <cfRule type="containsText" dxfId="51" priority="28" operator="containsText" text="Pesquisa">
      <formula>NOT(ISERROR(SEARCH("Pesquisa",G330)))</formula>
    </cfRule>
  </conditionalFormatting>
  <conditionalFormatting sqref="G339:G340">
    <cfRule type="containsText" dxfId="50" priority="27" operator="containsText" text="Pesquisa">
      <formula>NOT(ISERROR(SEARCH("Pesquisa",G339)))</formula>
    </cfRule>
  </conditionalFormatting>
  <conditionalFormatting sqref="G353 G342:G343">
    <cfRule type="containsText" dxfId="49" priority="26" operator="containsText" text="Pesquisa">
      <formula>NOT(ISERROR(SEARCH("Pesquisa",G342)))</formula>
    </cfRule>
  </conditionalFormatting>
  <conditionalFormatting sqref="G344:G346 G351:G352">
    <cfRule type="containsText" dxfId="48" priority="25" operator="containsText" text="Pesquisa">
      <formula>NOT(ISERROR(SEARCH("Pesquisa",G344)))</formula>
    </cfRule>
  </conditionalFormatting>
  <conditionalFormatting sqref="G357 G354:G355">
    <cfRule type="containsText" dxfId="47" priority="24" operator="containsText" text="Pesquisa">
      <formula>NOT(ISERROR(SEARCH("Pesquisa",G354)))</formula>
    </cfRule>
  </conditionalFormatting>
  <conditionalFormatting sqref="G356">
    <cfRule type="containsText" dxfId="46" priority="23" operator="containsText" text="Pesquisa">
      <formula>NOT(ISERROR(SEARCH("Pesquisa",G356)))</formula>
    </cfRule>
  </conditionalFormatting>
  <conditionalFormatting sqref="G11">
    <cfRule type="containsText" dxfId="45" priority="22" operator="containsText" text="Pesquisa">
      <formula>NOT(ISERROR(SEARCH("Pesquisa",G11)))</formula>
    </cfRule>
  </conditionalFormatting>
  <conditionalFormatting sqref="G56">
    <cfRule type="containsText" dxfId="44" priority="21" operator="containsText" text="Pesquisa">
      <formula>NOT(ISERROR(SEARCH("Pesquisa",G56)))</formula>
    </cfRule>
  </conditionalFormatting>
  <conditionalFormatting sqref="G74">
    <cfRule type="containsText" dxfId="43" priority="20" operator="containsText" text="Pesquisa">
      <formula>NOT(ISERROR(SEARCH("Pesquisa",G74)))</formula>
    </cfRule>
  </conditionalFormatting>
  <conditionalFormatting sqref="G91">
    <cfRule type="containsText" dxfId="42" priority="19" operator="containsText" text="Pesquisa">
      <formula>NOT(ISERROR(SEARCH("Pesquisa",G91)))</formula>
    </cfRule>
  </conditionalFormatting>
  <conditionalFormatting sqref="G101">
    <cfRule type="containsText" dxfId="41" priority="18" operator="containsText" text="Pesquisa">
      <formula>NOT(ISERROR(SEARCH("Pesquisa",G101)))</formula>
    </cfRule>
  </conditionalFormatting>
  <conditionalFormatting sqref="G163">
    <cfRule type="containsText" dxfId="40" priority="17" operator="containsText" text="Pesquisa">
      <formula>NOT(ISERROR(SEARCH("Pesquisa",G163)))</formula>
    </cfRule>
  </conditionalFormatting>
  <conditionalFormatting sqref="G175">
    <cfRule type="containsText" dxfId="39" priority="16" operator="containsText" text="Pesquisa">
      <formula>NOT(ISERROR(SEARCH("Pesquisa",G175)))</formula>
    </cfRule>
  </conditionalFormatting>
  <conditionalFormatting sqref="G234">
    <cfRule type="containsText" dxfId="38" priority="15" operator="containsText" text="Pesquisa">
      <formula>NOT(ISERROR(SEARCH("Pesquisa",G234)))</formula>
    </cfRule>
  </conditionalFormatting>
  <conditionalFormatting sqref="G248">
    <cfRule type="containsText" dxfId="37" priority="14" operator="containsText" text="Pesquisa">
      <formula>NOT(ISERROR(SEARCH("Pesquisa",G248)))</formula>
    </cfRule>
  </conditionalFormatting>
  <conditionalFormatting sqref="G262">
    <cfRule type="containsText" dxfId="36" priority="13" operator="containsText" text="Pesquisa">
      <formula>NOT(ISERROR(SEARCH("Pesquisa",G262)))</formula>
    </cfRule>
  </conditionalFormatting>
  <conditionalFormatting sqref="G272">
    <cfRule type="containsText" dxfId="35" priority="12" operator="containsText" text="Pesquisa">
      <formula>NOT(ISERROR(SEARCH("Pesquisa",G272)))</formula>
    </cfRule>
  </conditionalFormatting>
  <conditionalFormatting sqref="G295">
    <cfRule type="containsText" dxfId="34" priority="11" operator="containsText" text="Pesquisa">
      <formula>NOT(ISERROR(SEARCH("Pesquisa",G295)))</formula>
    </cfRule>
  </conditionalFormatting>
  <conditionalFormatting sqref="G323">
    <cfRule type="containsText" dxfId="33" priority="10" operator="containsText" text="Pesquisa">
      <formula>NOT(ISERROR(SEARCH("Pesquisa",G323)))</formula>
    </cfRule>
  </conditionalFormatting>
  <conditionalFormatting sqref="G337">
    <cfRule type="containsText" dxfId="32" priority="9" operator="containsText" text="Pesquisa">
      <formula>NOT(ISERROR(SEARCH("Pesquisa",G337)))</formula>
    </cfRule>
  </conditionalFormatting>
  <conditionalFormatting sqref="G349">
    <cfRule type="containsText" dxfId="31" priority="8" operator="containsText" text="Pesquisa">
      <formula>NOT(ISERROR(SEARCH("Pesquisa",G349)))</formula>
    </cfRule>
  </conditionalFormatting>
  <conditionalFormatting sqref="G361 G358:G359">
    <cfRule type="containsText" dxfId="30" priority="7" operator="containsText" text="Pesquisa">
      <formula>NOT(ISERROR(SEARCH("Pesquisa",G358)))</formula>
    </cfRule>
  </conditionalFormatting>
  <conditionalFormatting sqref="G360">
    <cfRule type="containsText" dxfId="29" priority="6" operator="containsText" text="Pesquisa">
      <formula>NOT(ISERROR(SEARCH("Pesquisa",G360)))</formula>
    </cfRule>
  </conditionalFormatting>
  <conditionalFormatting sqref="C15:D15">
    <cfRule type="containsText" dxfId="28" priority="132" operator="containsText" text="Pesquisa de Preços">
      <formula>NOT(ISERROR(SEARCH("Pesquisa de Preços",C15)))</formula>
    </cfRule>
  </conditionalFormatting>
  <conditionalFormatting sqref="C7:D7">
    <cfRule type="containsText" dxfId="27" priority="131" operator="containsText" text="Pesquisa de Preços">
      <formula>NOT(ISERROR(SEARCH("Pesquisa de Preços",C7)))</formula>
    </cfRule>
  </conditionalFormatting>
  <conditionalFormatting sqref="C6:D6">
    <cfRule type="containsText" dxfId="26" priority="130" operator="containsText" text="Pesquisa de Preços">
      <formula>NOT(ISERROR(SEARCH("Pesquisa de Preços",C6)))</formula>
    </cfRule>
  </conditionalFormatting>
  <conditionalFormatting sqref="C8:D10">
    <cfRule type="containsText" dxfId="25" priority="129" operator="containsText" text="Pesquisa de Preços">
      <formula>NOT(ISERROR(SEARCH("Pesquisa de Preços",C8)))</formula>
    </cfRule>
  </conditionalFormatting>
  <conditionalFormatting sqref="C29:D36">
    <cfRule type="containsText" dxfId="24" priority="128" operator="containsText" text="Pesquisa de Preços">
      <formula>NOT(ISERROR(SEARCH("Pesquisa de Preços",C29)))</formula>
    </cfRule>
  </conditionalFormatting>
  <conditionalFormatting sqref="D27">
    <cfRule type="containsText" dxfId="23" priority="125" operator="containsText" text="Pesquisa de Preços">
      <formula>NOT(ISERROR(SEARCH("Pesquisa de Preços",D27)))</formula>
    </cfRule>
  </conditionalFormatting>
  <conditionalFormatting sqref="C37:D37">
    <cfRule type="containsText" dxfId="22" priority="127" operator="containsText" text="Pesquisa de Preços">
      <formula>NOT(ISERROR(SEARCH("Pesquisa de Preços",C37)))</formula>
    </cfRule>
  </conditionalFormatting>
  <conditionalFormatting sqref="C28:D28">
    <cfRule type="containsText" dxfId="21" priority="126" operator="containsText" text="Pesquisa de Preços">
      <formula>NOT(ISERROR(SEARCH("Pesquisa de Preços",C28)))</formula>
    </cfRule>
  </conditionalFormatting>
  <conditionalFormatting sqref="C27">
    <cfRule type="containsText" dxfId="20" priority="124" operator="containsText" text="Pesquisa de Preços">
      <formula>NOT(ISERROR(SEARCH("Pesquisa de Preços",C27)))</formula>
    </cfRule>
  </conditionalFormatting>
  <conditionalFormatting sqref="G15 G37 G27:G28 G6:G7">
    <cfRule type="containsText" dxfId="19" priority="121" operator="containsText" text="Pesquisa">
      <formula>NOT(ISERROR(SEARCH("Pesquisa",G6)))</formula>
    </cfRule>
  </conditionalFormatting>
  <conditionalFormatting sqref="G60 G48:G49">
    <cfRule type="containsText" dxfId="18" priority="120" operator="containsText" text="Pesquisa">
      <formula>NOT(ISERROR(SEARCH("Pesquisa",G48)))</formula>
    </cfRule>
  </conditionalFormatting>
  <conditionalFormatting sqref="G68 G61:G62">
    <cfRule type="containsText" dxfId="17" priority="119" operator="containsText" text="Pesquisa">
      <formula>NOT(ISERROR(SEARCH("Pesquisa",G61)))</formula>
    </cfRule>
  </conditionalFormatting>
  <conditionalFormatting sqref="G69:G70">
    <cfRule type="containsText" dxfId="16" priority="118" operator="containsText" text="Pesquisa">
      <formula>NOT(ISERROR(SEARCH("Pesquisa",G69)))</formula>
    </cfRule>
  </conditionalFormatting>
  <conditionalFormatting sqref="G153 G148:G149">
    <cfRule type="containsText" dxfId="15" priority="95" operator="containsText" text="Pesquisa">
      <formula>NOT(ISERROR(SEARCH("Pesquisa",G148)))</formula>
    </cfRule>
  </conditionalFormatting>
  <conditionalFormatting sqref="G209:G213">
    <cfRule type="notContainsText" dxfId="14" priority="79" operator="notContains" text="Sinapi">
      <formula>ISERROR(SEARCH("Sinapi",G209))</formula>
    </cfRule>
  </conditionalFormatting>
  <conditionalFormatting sqref="G279:G281 G284">
    <cfRule type="containsText" dxfId="13" priority="47" operator="containsText" text="Pesquisa">
      <formula>NOT(ISERROR(SEARCH("Pesquisa",G279)))</formula>
    </cfRule>
  </conditionalFormatting>
  <printOptions horizontalCentered="1"/>
  <pageMargins left="0.19685039370078741" right="0.19685039370078741" top="1.1811023622047245" bottom="0.59055118110236227" header="0.19685039370078741" footer="0.19685039370078741"/>
  <pageSetup paperSize="9" scale="50"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filterMode="1">
    <pageSetUpPr fitToPage="1"/>
  </sheetPr>
  <dimension ref="A1:K33"/>
  <sheetViews>
    <sheetView zoomScale="80" zoomScaleNormal="80" workbookViewId="0">
      <selection activeCell="D40" sqref="D40"/>
    </sheetView>
  </sheetViews>
  <sheetFormatPr defaultRowHeight="15" x14ac:dyDescent="0.25"/>
  <cols>
    <col min="1" max="1" width="46.85546875" style="106" customWidth="1"/>
    <col min="2" max="2" width="80.7109375" style="276" customWidth="1"/>
    <col min="3" max="3" width="15.7109375" style="285" customWidth="1"/>
    <col min="4" max="4" width="20.7109375" style="106" customWidth="1"/>
    <col min="5" max="5" width="40.7109375" style="106" customWidth="1"/>
    <col min="6" max="6" width="15.7109375" style="106" customWidth="1"/>
    <col min="7" max="7" width="25.7109375" style="106" customWidth="1"/>
    <col min="8" max="9" width="17.7109375" style="106" customWidth="1"/>
    <col min="10" max="10" width="5.7109375" customWidth="1"/>
    <col min="11" max="11" width="14.42578125" customWidth="1"/>
  </cols>
  <sheetData>
    <row r="1" spans="1:11" ht="24.95" customHeight="1" x14ac:dyDescent="0.25">
      <c r="A1" s="96" t="str">
        <f>Composições!A1</f>
        <v>Reforma do Espaço do Servidor - 1ª etapa</v>
      </c>
      <c r="B1" s="126"/>
      <c r="C1" s="96"/>
      <c r="D1" s="96"/>
      <c r="E1" s="96"/>
      <c r="F1" s="96"/>
      <c r="G1" s="96"/>
      <c r="H1" s="96"/>
      <c r="I1" s="96"/>
      <c r="J1" s="79"/>
      <c r="K1" s="81"/>
    </row>
    <row r="2" spans="1:11" ht="24.95" customHeight="1" x14ac:dyDescent="0.25">
      <c r="A2" s="127" t="s">
        <v>2706</v>
      </c>
      <c r="B2" s="217"/>
      <c r="C2" s="218"/>
      <c r="D2" s="217"/>
      <c r="E2" s="217"/>
      <c r="F2" s="217"/>
      <c r="G2" s="217"/>
      <c r="H2" s="217"/>
      <c r="I2" s="217"/>
      <c r="J2" s="8"/>
      <c r="K2" s="81"/>
    </row>
    <row r="3" spans="1:11" ht="20.100000000000001" customHeight="1" x14ac:dyDescent="0.25">
      <c r="A3" s="220" t="str">
        <f>Composições!A3</f>
        <v>Data: Julho de 2020</v>
      </c>
      <c r="B3" s="220"/>
      <c r="C3" s="221"/>
      <c r="D3" s="220"/>
      <c r="E3" s="220"/>
      <c r="F3" s="220"/>
      <c r="G3" s="220"/>
      <c r="H3" s="220"/>
      <c r="I3" s="220"/>
      <c r="J3" s="9"/>
      <c r="K3" s="81"/>
    </row>
    <row r="4" spans="1:11" ht="30" customHeight="1" thickBot="1" x14ac:dyDescent="0.3">
      <c r="A4" s="227"/>
      <c r="B4" s="227"/>
      <c r="C4" s="228"/>
      <c r="D4" s="227"/>
      <c r="E4" s="227"/>
      <c r="J4" s="10"/>
      <c r="K4" s="81"/>
    </row>
    <row r="5" spans="1:11" ht="65.099999999999994" customHeight="1" thickBot="1" x14ac:dyDescent="0.3">
      <c r="A5" s="100" t="s">
        <v>7</v>
      </c>
      <c r="B5" s="101" t="s">
        <v>8</v>
      </c>
      <c r="C5" s="277" t="s">
        <v>9</v>
      </c>
      <c r="D5" s="101" t="s">
        <v>10</v>
      </c>
      <c r="E5" s="101" t="s">
        <v>11</v>
      </c>
      <c r="F5" s="101" t="s">
        <v>12</v>
      </c>
      <c r="G5" s="101" t="s">
        <v>13</v>
      </c>
      <c r="H5" s="247" t="s">
        <v>14</v>
      </c>
      <c r="I5" s="278" t="s">
        <v>2624</v>
      </c>
      <c r="J5" s="11"/>
      <c r="K5" s="82" t="s">
        <v>16</v>
      </c>
    </row>
    <row r="6" spans="1:11" ht="15.75" thickBot="1" x14ac:dyDescent="0.3">
      <c r="A6" s="273" t="s">
        <v>2707</v>
      </c>
      <c r="B6" s="274" t="s">
        <v>1079</v>
      </c>
      <c r="C6" s="279" t="s">
        <v>255</v>
      </c>
      <c r="D6" s="252"/>
      <c r="E6" s="259" t="s">
        <v>256</v>
      </c>
      <c r="F6" s="260" t="s">
        <v>1079</v>
      </c>
      <c r="G6" s="261"/>
      <c r="H6" s="260" t="s">
        <v>1079</v>
      </c>
      <c r="I6" s="280"/>
      <c r="J6" s="18"/>
      <c r="K6" s="175">
        <v>318.52225080000005</v>
      </c>
    </row>
    <row r="7" spans="1:11" x14ac:dyDescent="0.25">
      <c r="A7" s="268"/>
      <c r="B7" s="155" t="s">
        <v>1079</v>
      </c>
      <c r="C7" s="154"/>
      <c r="D7" s="249"/>
      <c r="E7" s="256"/>
      <c r="F7" s="262" t="s">
        <v>1079</v>
      </c>
      <c r="G7" s="155"/>
      <c r="H7" s="257" t="s">
        <v>1079</v>
      </c>
      <c r="I7" s="281"/>
      <c r="J7" s="19"/>
      <c r="K7" s="175">
        <v>318.52225080000005</v>
      </c>
    </row>
    <row r="8" spans="1:11" ht="51" x14ac:dyDescent="0.25">
      <c r="A8" s="268"/>
      <c r="B8" s="105" t="s">
        <v>1930</v>
      </c>
      <c r="C8" s="3" t="s">
        <v>1691</v>
      </c>
      <c r="D8" s="250">
        <v>1.04E-2</v>
      </c>
      <c r="E8" s="176" t="s">
        <v>256</v>
      </c>
      <c r="F8" s="258">
        <v>92.064499999999995</v>
      </c>
      <c r="G8" s="176" t="s">
        <v>1931</v>
      </c>
      <c r="H8" s="258">
        <v>0.96</v>
      </c>
      <c r="I8" s="282">
        <f>SUM(H8:H9)</f>
        <v>1.04</v>
      </c>
      <c r="J8" s="35"/>
      <c r="K8" s="175">
        <v>318.52225080000005</v>
      </c>
    </row>
    <row r="9" spans="1:11" ht="51" x14ac:dyDescent="0.25">
      <c r="A9" s="268"/>
      <c r="B9" s="105" t="s">
        <v>1932</v>
      </c>
      <c r="C9" s="3" t="s">
        <v>1694</v>
      </c>
      <c r="D9" s="250">
        <v>2.5999999999999999E-3</v>
      </c>
      <c r="E9" s="176" t="s">
        <v>256</v>
      </c>
      <c r="F9" s="258">
        <v>30.000999999999998</v>
      </c>
      <c r="G9" s="176" t="s">
        <v>1933</v>
      </c>
      <c r="H9" s="258">
        <v>0.08</v>
      </c>
      <c r="I9" s="282"/>
      <c r="J9" s="35"/>
      <c r="K9" s="175">
        <v>318.52225080000005</v>
      </c>
    </row>
    <row r="10" spans="1:11" ht="15.75" thickBot="1" x14ac:dyDescent="0.3">
      <c r="A10" s="272"/>
      <c r="B10" s="275" t="s">
        <v>1079</v>
      </c>
      <c r="C10" s="283"/>
      <c r="D10" s="253"/>
      <c r="E10" s="263"/>
      <c r="F10" s="264" t="s">
        <v>1079</v>
      </c>
      <c r="G10" s="263"/>
      <c r="H10" s="264" t="s">
        <v>1079</v>
      </c>
      <c r="I10" s="284"/>
      <c r="J10" s="19"/>
      <c r="K10" s="175">
        <v>318.52225080000005</v>
      </c>
    </row>
    <row r="11" spans="1:11" ht="15.75" thickBot="1" x14ac:dyDescent="0.3">
      <c r="A11" s="273" t="s">
        <v>2687</v>
      </c>
      <c r="B11" s="274" t="s">
        <v>1079</v>
      </c>
      <c r="C11" s="279" t="s">
        <v>1629</v>
      </c>
      <c r="D11" s="252"/>
      <c r="E11" s="259" t="s">
        <v>2688</v>
      </c>
      <c r="F11" s="261" t="s">
        <v>1079</v>
      </c>
      <c r="G11" s="261"/>
      <c r="H11" s="265" t="s">
        <v>1079</v>
      </c>
      <c r="I11" s="280"/>
      <c r="J11" s="18"/>
      <c r="K11" s="175">
        <v>308.75921199999999</v>
      </c>
    </row>
    <row r="12" spans="1:11" x14ac:dyDescent="0.25">
      <c r="A12" s="268"/>
      <c r="B12" s="155" t="s">
        <v>1079</v>
      </c>
      <c r="C12" s="154"/>
      <c r="D12" s="249"/>
      <c r="E12" s="256"/>
      <c r="F12" s="257" t="s">
        <v>1079</v>
      </c>
      <c r="G12" s="155"/>
      <c r="H12" s="257" t="s">
        <v>1079</v>
      </c>
      <c r="I12" s="281"/>
      <c r="J12" s="19"/>
      <c r="K12" s="175">
        <v>308.75921199999999</v>
      </c>
    </row>
    <row r="13" spans="1:11" x14ac:dyDescent="0.25">
      <c r="A13" s="268"/>
      <c r="B13" s="105" t="s">
        <v>2704</v>
      </c>
      <c r="C13" s="3" t="s">
        <v>1629</v>
      </c>
      <c r="D13" s="250">
        <v>1.07</v>
      </c>
      <c r="E13" s="176" t="s">
        <v>2688</v>
      </c>
      <c r="F13" s="257">
        <v>4.9209999999999994</v>
      </c>
      <c r="G13" s="176" t="s">
        <v>2705</v>
      </c>
      <c r="H13" s="258">
        <v>5.27</v>
      </c>
      <c r="I13" s="282">
        <f>SUM(H13:H15)</f>
        <v>7.25</v>
      </c>
      <c r="J13" s="35"/>
      <c r="K13" s="175">
        <v>308.75921199999999</v>
      </c>
    </row>
    <row r="14" spans="1:11" x14ac:dyDescent="0.25">
      <c r="A14" s="268"/>
      <c r="B14" s="105" t="s">
        <v>1632</v>
      </c>
      <c r="C14" s="3" t="s">
        <v>1366</v>
      </c>
      <c r="D14" s="250">
        <v>1.3100000000000001E-2</v>
      </c>
      <c r="E14" s="176" t="s">
        <v>2688</v>
      </c>
      <c r="F14" s="258">
        <v>14.933999999999999</v>
      </c>
      <c r="G14" s="176" t="s">
        <v>1633</v>
      </c>
      <c r="H14" s="258">
        <v>0.2</v>
      </c>
      <c r="I14" s="282"/>
      <c r="J14" s="35"/>
      <c r="K14" s="175">
        <v>308.75921199999999</v>
      </c>
    </row>
    <row r="15" spans="1:11" x14ac:dyDescent="0.25">
      <c r="A15" s="268"/>
      <c r="B15" s="105" t="s">
        <v>1634</v>
      </c>
      <c r="C15" s="3" t="s">
        <v>1366</v>
      </c>
      <c r="D15" s="250">
        <v>9.3299999999999994E-2</v>
      </c>
      <c r="E15" s="176" t="s">
        <v>2688</v>
      </c>
      <c r="F15" s="257">
        <v>19.056999999999999</v>
      </c>
      <c r="G15" s="176" t="s">
        <v>1635</v>
      </c>
      <c r="H15" s="258">
        <v>1.78</v>
      </c>
      <c r="I15" s="282"/>
      <c r="J15" s="35"/>
      <c r="K15" s="175">
        <v>308.75921199999999</v>
      </c>
    </row>
    <row r="16" spans="1:11" ht="15.75" thickBot="1" x14ac:dyDescent="0.3">
      <c r="A16" s="272"/>
      <c r="B16" s="275" t="s">
        <v>1079</v>
      </c>
      <c r="C16" s="283"/>
      <c r="D16" s="253"/>
      <c r="E16" s="263"/>
      <c r="F16" s="264" t="s">
        <v>1079</v>
      </c>
      <c r="G16" s="263"/>
      <c r="H16" s="266" t="s">
        <v>1079</v>
      </c>
      <c r="I16" s="284"/>
      <c r="J16" s="19"/>
      <c r="K16" s="175">
        <v>308.75921199999999</v>
      </c>
    </row>
    <row r="17" spans="1:11" ht="15.75" thickBot="1" x14ac:dyDescent="0.3">
      <c r="A17" s="273" t="s">
        <v>251</v>
      </c>
      <c r="B17" s="274" t="s">
        <v>1079</v>
      </c>
      <c r="C17" s="279" t="s">
        <v>252</v>
      </c>
      <c r="D17" s="252"/>
      <c r="E17" s="259" t="s">
        <v>253</v>
      </c>
      <c r="F17" s="261" t="s">
        <v>1079</v>
      </c>
      <c r="G17" s="261"/>
      <c r="H17" s="265" t="s">
        <v>1079</v>
      </c>
      <c r="I17" s="280"/>
      <c r="J17" s="18"/>
      <c r="K17" s="175">
        <v>15.926112540000002</v>
      </c>
    </row>
    <row r="18" spans="1:11" x14ac:dyDescent="0.25">
      <c r="A18" s="268"/>
      <c r="B18" s="155" t="s">
        <v>1079</v>
      </c>
      <c r="C18" s="154"/>
      <c r="D18" s="249"/>
      <c r="E18" s="256"/>
      <c r="F18" s="257" t="s">
        <v>1079</v>
      </c>
      <c r="G18" s="155"/>
      <c r="H18" s="257" t="s">
        <v>1079</v>
      </c>
      <c r="I18" s="281"/>
      <c r="J18" s="19"/>
      <c r="K18" s="175">
        <v>15.926112540000002</v>
      </c>
    </row>
    <row r="19" spans="1:11" ht="51" x14ac:dyDescent="0.25">
      <c r="A19" s="268"/>
      <c r="B19" s="105" t="s">
        <v>1984</v>
      </c>
      <c r="C19" s="3" t="s">
        <v>1691</v>
      </c>
      <c r="D19" s="250">
        <v>7.0000000000000001E-3</v>
      </c>
      <c r="E19" s="176" t="s">
        <v>253</v>
      </c>
      <c r="F19" s="257">
        <v>103.53100000000001</v>
      </c>
      <c r="G19" s="176" t="s">
        <v>1985</v>
      </c>
      <c r="H19" s="258">
        <v>0.72</v>
      </c>
      <c r="I19" s="282">
        <f>SUM(H19:H19)</f>
        <v>0.72</v>
      </c>
      <c r="J19" s="35"/>
      <c r="K19" s="175">
        <v>15.926112540000002</v>
      </c>
    </row>
    <row r="20" spans="1:11" ht="15.75" thickBot="1" x14ac:dyDescent="0.3">
      <c r="A20" s="272"/>
      <c r="B20" s="275" t="s">
        <v>1079</v>
      </c>
      <c r="C20" s="283"/>
      <c r="D20" s="253"/>
      <c r="E20" s="263"/>
      <c r="F20" s="264" t="s">
        <v>1079</v>
      </c>
      <c r="G20" s="263"/>
      <c r="H20" s="266" t="s">
        <v>1079</v>
      </c>
      <c r="I20" s="284"/>
      <c r="J20" s="19"/>
      <c r="K20" s="175">
        <v>15.926112540000002</v>
      </c>
    </row>
    <row r="21" spans="1:11" ht="15.75" hidden="1" thickBot="1" x14ac:dyDescent="0.3">
      <c r="A21" s="188" t="s">
        <v>2492</v>
      </c>
      <c r="B21" s="30" t="s">
        <v>1079</v>
      </c>
      <c r="C21" s="76" t="s">
        <v>252</v>
      </c>
      <c r="D21" s="87"/>
      <c r="E21" s="15" t="s">
        <v>2493</v>
      </c>
      <c r="F21" s="31" t="s">
        <v>1079</v>
      </c>
      <c r="G21" s="16"/>
      <c r="H21" s="31" t="s">
        <v>1079</v>
      </c>
      <c r="I21" s="17"/>
      <c r="J21" s="18"/>
      <c r="K21" s="175">
        <v>0</v>
      </c>
    </row>
    <row r="22" spans="1:11" hidden="1" x14ac:dyDescent="0.25">
      <c r="A22" s="185"/>
      <c r="B22" s="20" t="s">
        <v>1079</v>
      </c>
      <c r="C22" s="77"/>
      <c r="D22" s="85"/>
      <c r="E22" s="43"/>
      <c r="F22" s="91" t="s">
        <v>1079</v>
      </c>
      <c r="G22" s="20"/>
      <c r="H22" s="92" t="s">
        <v>1079</v>
      </c>
      <c r="I22" s="24"/>
      <c r="J22" s="19"/>
      <c r="K22" s="175">
        <v>0</v>
      </c>
    </row>
    <row r="23" spans="1:11" hidden="1" x14ac:dyDescent="0.25">
      <c r="A23" s="185"/>
      <c r="B23" s="25" t="s">
        <v>238</v>
      </c>
      <c r="C23" s="41" t="s">
        <v>252</v>
      </c>
      <c r="D23" s="26">
        <v>1.36</v>
      </c>
      <c r="E23" s="27" t="s">
        <v>2671</v>
      </c>
      <c r="F23" s="23">
        <v>93.8125</v>
      </c>
      <c r="G23" s="27" t="s">
        <v>240</v>
      </c>
      <c r="H23" s="23">
        <v>127.59</v>
      </c>
      <c r="I23" s="34">
        <f>SUM(H23:H30)</f>
        <v>403.66</v>
      </c>
      <c r="J23" s="35"/>
      <c r="K23" s="175">
        <v>0</v>
      </c>
    </row>
    <row r="24" spans="1:11" hidden="1" x14ac:dyDescent="0.25">
      <c r="A24" s="185"/>
      <c r="B24" s="25" t="s">
        <v>241</v>
      </c>
      <c r="C24" s="41" t="s">
        <v>1629</v>
      </c>
      <c r="D24" s="26">
        <v>459.85</v>
      </c>
      <c r="E24" s="27" t="s">
        <v>2671</v>
      </c>
      <c r="F24" s="23">
        <v>0.38</v>
      </c>
      <c r="G24" s="27" t="s">
        <v>242</v>
      </c>
      <c r="H24" s="23">
        <v>174.74</v>
      </c>
      <c r="I24" s="34"/>
      <c r="J24" s="35"/>
      <c r="K24" s="175">
        <v>0</v>
      </c>
    </row>
    <row r="25" spans="1:11" ht="25.5" hidden="1" x14ac:dyDescent="0.25">
      <c r="A25" s="185"/>
      <c r="B25" s="25" t="s">
        <v>245</v>
      </c>
      <c r="C25" s="41" t="s">
        <v>1366</v>
      </c>
      <c r="D25" s="26">
        <v>4.8499999999999996</v>
      </c>
      <c r="E25" s="27" t="s">
        <v>2671</v>
      </c>
      <c r="F25" s="19">
        <v>14.411499999999998</v>
      </c>
      <c r="G25" s="27" t="s">
        <v>246</v>
      </c>
      <c r="H25" s="23">
        <v>69.900000000000006</v>
      </c>
      <c r="I25" s="34"/>
      <c r="J25" s="35"/>
      <c r="K25" s="175">
        <v>0</v>
      </c>
    </row>
    <row r="26" spans="1:11" ht="38.25" hidden="1" x14ac:dyDescent="0.25">
      <c r="A26" s="185"/>
      <c r="B26" s="25" t="s">
        <v>2641</v>
      </c>
      <c r="C26" s="41" t="s">
        <v>1691</v>
      </c>
      <c r="D26" s="26">
        <v>1.1299999999999999</v>
      </c>
      <c r="E26" s="27" t="s">
        <v>2671</v>
      </c>
      <c r="F26" s="19">
        <v>1.1684999999999999</v>
      </c>
      <c r="G26" s="27" t="s">
        <v>248</v>
      </c>
      <c r="H26" s="23">
        <v>1.32</v>
      </c>
      <c r="I26" s="34"/>
      <c r="J26" s="35"/>
      <c r="K26" s="175">
        <v>0</v>
      </c>
    </row>
    <row r="27" spans="1:11" ht="38.25" hidden="1" x14ac:dyDescent="0.25">
      <c r="A27" s="185"/>
      <c r="B27" s="25" t="s">
        <v>2642</v>
      </c>
      <c r="C27" s="41" t="s">
        <v>1694</v>
      </c>
      <c r="D27" s="26">
        <v>3.72</v>
      </c>
      <c r="E27" s="27" t="s">
        <v>2671</v>
      </c>
      <c r="F27" s="19">
        <v>0.247</v>
      </c>
      <c r="G27" s="27" t="s">
        <v>250</v>
      </c>
      <c r="H27" s="23">
        <v>0.92</v>
      </c>
      <c r="I27" s="34"/>
      <c r="J27" s="35"/>
      <c r="K27" s="175">
        <v>0</v>
      </c>
    </row>
    <row r="28" spans="1:11" ht="51" hidden="1" x14ac:dyDescent="0.25">
      <c r="A28" s="185"/>
      <c r="B28" s="25" t="s">
        <v>1984</v>
      </c>
      <c r="C28" s="41" t="s">
        <v>1691</v>
      </c>
      <c r="D28" s="26">
        <f>ROUND(0.007*D23,4)</f>
        <v>9.4999999999999998E-3</v>
      </c>
      <c r="E28" s="27" t="s">
        <v>253</v>
      </c>
      <c r="F28" s="19">
        <v>103.53100000000001</v>
      </c>
      <c r="G28" s="27" t="s">
        <v>1985</v>
      </c>
      <c r="H28" s="23">
        <v>0.98</v>
      </c>
      <c r="I28" s="34"/>
      <c r="J28" s="35"/>
      <c r="K28" s="175">
        <v>0</v>
      </c>
    </row>
    <row r="29" spans="1:11" ht="51" hidden="1" x14ac:dyDescent="0.25">
      <c r="A29" s="185"/>
      <c r="B29" s="25" t="s">
        <v>1930</v>
      </c>
      <c r="C29" s="41" t="s">
        <v>1691</v>
      </c>
      <c r="D29" s="26">
        <f>ROUND(0.01042*20*D23,4)</f>
        <v>0.28339999999999999</v>
      </c>
      <c r="E29" s="27" t="s">
        <v>256</v>
      </c>
      <c r="F29" s="23">
        <v>92.064499999999995</v>
      </c>
      <c r="G29" s="27" t="s">
        <v>1931</v>
      </c>
      <c r="H29" s="23">
        <v>26.09</v>
      </c>
      <c r="I29" s="34"/>
      <c r="J29" s="35"/>
      <c r="K29" s="175">
        <v>0</v>
      </c>
    </row>
    <row r="30" spans="1:11" ht="51" hidden="1" x14ac:dyDescent="0.25">
      <c r="A30" s="185"/>
      <c r="B30" s="25" t="s">
        <v>1932</v>
      </c>
      <c r="C30" s="41" t="s">
        <v>1694</v>
      </c>
      <c r="D30" s="26">
        <f>ROUND(0.0026*20*D23,4)</f>
        <v>7.0699999999999999E-2</v>
      </c>
      <c r="E30" s="27" t="s">
        <v>256</v>
      </c>
      <c r="F30" s="23">
        <v>30.000999999999998</v>
      </c>
      <c r="G30" s="27" t="s">
        <v>1933</v>
      </c>
      <c r="H30" s="23">
        <v>2.12</v>
      </c>
      <c r="I30" s="34"/>
      <c r="J30" s="35"/>
      <c r="K30" s="175">
        <v>0</v>
      </c>
    </row>
    <row r="31" spans="1:11" hidden="1" x14ac:dyDescent="0.25">
      <c r="A31" s="185"/>
      <c r="B31" s="42"/>
      <c r="C31" s="156"/>
      <c r="D31" s="26"/>
      <c r="E31" s="27"/>
      <c r="F31" s="19" t="s">
        <v>1079</v>
      </c>
      <c r="G31" s="27"/>
      <c r="H31" s="23" t="s">
        <v>1079</v>
      </c>
      <c r="I31" s="34"/>
      <c r="J31" s="35"/>
      <c r="K31" s="175">
        <v>0</v>
      </c>
    </row>
    <row r="32" spans="1:11" hidden="1" x14ac:dyDescent="0.25">
      <c r="A32" s="185"/>
      <c r="B32" s="39" t="s">
        <v>1459</v>
      </c>
      <c r="C32" s="156"/>
      <c r="D32" s="26"/>
      <c r="E32" s="27"/>
      <c r="F32" s="19" t="s">
        <v>1079</v>
      </c>
      <c r="G32" s="27"/>
      <c r="H32" s="23" t="s">
        <v>1079</v>
      </c>
      <c r="I32" s="34"/>
      <c r="J32" s="35"/>
      <c r="K32" s="175">
        <v>0</v>
      </c>
    </row>
    <row r="33" spans="1:11" ht="15.75" hidden="1" thickBot="1" x14ac:dyDescent="0.3">
      <c r="A33" s="189"/>
      <c r="B33" s="95" t="s">
        <v>2708</v>
      </c>
      <c r="C33" s="78"/>
      <c r="D33" s="89"/>
      <c r="E33" s="61"/>
      <c r="F33" s="62" t="s">
        <v>1079</v>
      </c>
      <c r="G33" s="61"/>
      <c r="H33" s="62" t="s">
        <v>1079</v>
      </c>
      <c r="I33" s="64"/>
      <c r="J33" s="19"/>
      <c r="K33" s="175">
        <v>0</v>
      </c>
    </row>
  </sheetData>
  <sheetProtection algorithmName="SHA-512" hashValue="MZSeXGtgBLmllLun7wmynlk8E8lQXqQpQMKgzHURqU1/RUuMuXYWqUdXcNbZIaZeyApS2ojS/8wdRACoUzW/9w==" saltValue="EqIfhgQOM56hxKHitlqmJA==" spinCount="100000" sheet="1" objects="1" scenarios="1"/>
  <protectedRanges>
    <protectedRange sqref="E31:E32" name="COTACOES_92_8_3"/>
    <protectedRange sqref="E31:E32" name="COTACOES_1_12_13_1_4"/>
  </protectedRanges>
  <autoFilter ref="A5:K33">
    <filterColumn colId="10">
      <filters>
        <filter val="15,9261"/>
        <filter val="308,7592"/>
        <filter val="318,5223"/>
      </filters>
    </filterColumn>
  </autoFilter>
  <mergeCells count="4">
    <mergeCell ref="A6:A10"/>
    <mergeCell ref="A11:A16"/>
    <mergeCell ref="A17:A20"/>
    <mergeCell ref="A21:A33"/>
  </mergeCells>
  <conditionalFormatting sqref="G10 G6:G7">
    <cfRule type="containsText" dxfId="12" priority="31" operator="containsText" text="Pesquisa">
      <formula>NOT(ISERROR(SEARCH("Pesquisa",G6)))</formula>
    </cfRule>
  </conditionalFormatting>
  <conditionalFormatting sqref="G8:G9">
    <cfRule type="containsText" dxfId="11" priority="30" operator="containsText" text="Pesquisa">
      <formula>NOT(ISERROR(SEARCH("Pesquisa",G8)))</formula>
    </cfRule>
  </conditionalFormatting>
  <conditionalFormatting sqref="G16 G11:G12">
    <cfRule type="containsText" dxfId="10" priority="22" operator="containsText" text="Pesquisa">
      <formula>NOT(ISERROR(SEARCH("Pesquisa",G11)))</formula>
    </cfRule>
  </conditionalFormatting>
  <conditionalFormatting sqref="G13">
    <cfRule type="containsText" dxfId="9" priority="21" operator="containsText" text="Pesquisa">
      <formula>NOT(ISERROR(SEARCH("Pesquisa",G13)))</formula>
    </cfRule>
  </conditionalFormatting>
  <conditionalFormatting sqref="G14:G15">
    <cfRule type="containsText" dxfId="8" priority="20" operator="containsText" text="Pesquisa">
      <formula>NOT(ISERROR(SEARCH("Pesquisa",G14)))</formula>
    </cfRule>
  </conditionalFormatting>
  <conditionalFormatting sqref="G20 G17:G18">
    <cfRule type="containsText" dxfId="7" priority="19" operator="containsText" text="Pesquisa">
      <formula>NOT(ISERROR(SEARCH("Pesquisa",G17)))</formula>
    </cfRule>
  </conditionalFormatting>
  <conditionalFormatting sqref="G19">
    <cfRule type="containsText" dxfId="6" priority="18" operator="containsText" text="Pesquisa">
      <formula>NOT(ISERROR(SEARCH("Pesquisa",G19)))</formula>
    </cfRule>
  </conditionalFormatting>
  <conditionalFormatting sqref="G31:G32">
    <cfRule type="containsText" dxfId="5" priority="11" operator="containsText" text="Pesquisa">
      <formula>NOT(ISERROR(SEARCH("Pesquisa",G31)))</formula>
    </cfRule>
  </conditionalFormatting>
  <conditionalFormatting sqref="G21:G22">
    <cfRule type="containsText" dxfId="4" priority="16" operator="containsText" text="Pesquisa">
      <formula>NOT(ISERROR(SEARCH("Pesquisa",G21)))</formula>
    </cfRule>
  </conditionalFormatting>
  <conditionalFormatting sqref="G23:G27">
    <cfRule type="containsText" dxfId="3" priority="13" operator="containsText" text="Pesquisa">
      <formula>NOT(ISERROR(SEARCH("Pesquisa",G23)))</formula>
    </cfRule>
  </conditionalFormatting>
  <conditionalFormatting sqref="G33">
    <cfRule type="containsText" dxfId="2" priority="12" operator="containsText" text="Pesquisa">
      <formula>NOT(ISERROR(SEARCH("Pesquisa",G33)))</formula>
    </cfRule>
  </conditionalFormatting>
  <conditionalFormatting sqref="G29:G30">
    <cfRule type="containsText" dxfId="1" priority="8" operator="containsText" text="Pesquisa">
      <formula>NOT(ISERROR(SEARCH("Pesquisa",G29)))</formula>
    </cfRule>
  </conditionalFormatting>
  <conditionalFormatting sqref="G28">
    <cfRule type="containsText" dxfId="0" priority="7" operator="containsText" text="Pesquisa">
      <formula>NOT(ISERROR(SEARCH("Pesquisa",G28)))</formula>
    </cfRule>
  </conditionalFormatting>
  <printOptions horizontalCentered="1"/>
  <pageMargins left="0.19685039370078741" right="0.19685039370078741" top="1.1811023622047245" bottom="0.59055118110236227" header="0.19685039370078741" footer="0.19685039370078741"/>
  <pageSetup paperSize="9" scale="50"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pageSetUpPr fitToPage="1"/>
  </sheetPr>
  <dimension ref="A1:I50"/>
  <sheetViews>
    <sheetView zoomScale="80" zoomScaleNormal="80" workbookViewId="0">
      <selection activeCell="H17" sqref="H17"/>
    </sheetView>
  </sheetViews>
  <sheetFormatPr defaultRowHeight="15" x14ac:dyDescent="0.25"/>
  <cols>
    <col min="1" max="1" width="30.7109375" customWidth="1"/>
    <col min="2" max="4" width="25.7109375" customWidth="1"/>
    <col min="5" max="5" width="5.5703125" customWidth="1"/>
    <col min="6" max="6" width="30.7109375" customWidth="1"/>
    <col min="7" max="9" width="25.7109375" customWidth="1"/>
  </cols>
  <sheetData>
    <row r="1" spans="1:9" ht="24.95" customHeight="1" x14ac:dyDescent="0.25">
      <c r="A1" s="126" t="str">
        <f>Orçamentária!A1</f>
        <v>Reforma do Espaço do Servidor - 1ª etapa</v>
      </c>
      <c r="B1" s="126"/>
      <c r="C1" s="126"/>
      <c r="D1" s="126"/>
      <c r="E1" s="126"/>
      <c r="F1" s="126"/>
      <c r="G1" s="126"/>
      <c r="H1" s="126"/>
      <c r="I1" s="126"/>
    </row>
    <row r="2" spans="1:9" ht="24.95" customHeight="1" x14ac:dyDescent="0.25">
      <c r="A2" s="97" t="s">
        <v>4568</v>
      </c>
      <c r="B2" s="97"/>
      <c r="C2" s="97"/>
      <c r="D2" s="97"/>
      <c r="E2" s="97"/>
      <c r="F2" s="97"/>
      <c r="G2" s="97"/>
      <c r="H2" s="97"/>
      <c r="I2" s="97"/>
    </row>
    <row r="3" spans="1:9" ht="18" customHeight="1" thickBot="1" x14ac:dyDescent="0.3">
      <c r="A3" s="128"/>
      <c r="B3" s="128"/>
      <c r="C3" s="128"/>
      <c r="D3" s="128"/>
      <c r="E3" s="129"/>
      <c r="F3" s="128"/>
      <c r="G3" s="128"/>
      <c r="H3" s="128"/>
      <c r="I3" s="128"/>
    </row>
    <row r="4" spans="1:9" ht="24.95" customHeight="1" thickBot="1" x14ac:dyDescent="0.3">
      <c r="A4" s="130" t="s">
        <v>4569</v>
      </c>
      <c r="B4" s="131"/>
      <c r="C4" s="131"/>
      <c r="D4" s="132"/>
      <c r="E4" s="133"/>
      <c r="F4" s="130" t="s">
        <v>4570</v>
      </c>
      <c r="G4" s="131"/>
      <c r="H4" s="131"/>
      <c r="I4" s="132"/>
    </row>
    <row r="5" spans="1:9" ht="20.100000000000001" customHeight="1" x14ac:dyDescent="0.25">
      <c r="A5" s="190" t="s">
        <v>4571</v>
      </c>
      <c r="B5" s="134" t="s">
        <v>4572</v>
      </c>
      <c r="C5" s="135" t="s">
        <v>4573</v>
      </c>
      <c r="D5" s="136"/>
      <c r="E5" s="137"/>
      <c r="F5" s="190" t="s">
        <v>4571</v>
      </c>
      <c r="G5" s="134" t="s">
        <v>4572</v>
      </c>
      <c r="H5" s="135" t="s">
        <v>4573</v>
      </c>
      <c r="I5" s="138"/>
    </row>
    <row r="6" spans="1:9" ht="20.100000000000001" customHeight="1" x14ac:dyDescent="0.25">
      <c r="A6" s="191"/>
      <c r="B6" s="139" t="s">
        <v>4574</v>
      </c>
      <c r="C6" s="140" t="s">
        <v>4575</v>
      </c>
      <c r="D6" s="136"/>
      <c r="E6" s="137"/>
      <c r="F6" s="191"/>
      <c r="G6" s="139" t="s">
        <v>4574</v>
      </c>
      <c r="H6" s="140" t="s">
        <v>4575</v>
      </c>
      <c r="I6" s="138"/>
    </row>
    <row r="7" spans="1:9" ht="20.100000000000001" customHeight="1" x14ac:dyDescent="0.25">
      <c r="A7" s="192"/>
      <c r="B7" s="141" t="s">
        <v>4576</v>
      </c>
      <c r="C7" s="142" t="s">
        <v>4576</v>
      </c>
      <c r="D7" s="136"/>
      <c r="E7" s="137"/>
      <c r="F7" s="192"/>
      <c r="G7" s="141" t="s">
        <v>4576</v>
      </c>
      <c r="H7" s="142" t="s">
        <v>4576</v>
      </c>
      <c r="I7" s="143"/>
    </row>
    <row r="8" spans="1:9" ht="20.100000000000001" customHeight="1" x14ac:dyDescent="0.25">
      <c r="A8" s="144" t="s">
        <v>4577</v>
      </c>
      <c r="B8" s="145">
        <v>3.5000000000000003E-2</v>
      </c>
      <c r="C8" s="146">
        <v>3.5000000000000003E-2</v>
      </c>
      <c r="D8" s="147"/>
      <c r="E8" s="3"/>
      <c r="F8" s="144" t="s">
        <v>4577</v>
      </c>
      <c r="G8" s="145">
        <v>1.7500000000000002E-2</v>
      </c>
      <c r="H8" s="146">
        <v>1.7500000000000002E-2</v>
      </c>
      <c r="I8" s="148"/>
    </row>
    <row r="9" spans="1:9" ht="20.100000000000001" customHeight="1" x14ac:dyDescent="0.25">
      <c r="A9" s="144" t="s">
        <v>4578</v>
      </c>
      <c r="B9" s="145">
        <v>8.0000000000000002E-3</v>
      </c>
      <c r="C9" s="146">
        <v>8.0000000000000002E-3</v>
      </c>
      <c r="D9" s="147"/>
      <c r="E9" s="3"/>
      <c r="F9" s="144" t="s">
        <v>4578</v>
      </c>
      <c r="G9" s="145">
        <v>4.0000000000000001E-3</v>
      </c>
      <c r="H9" s="146">
        <v>4.0000000000000001E-3</v>
      </c>
      <c r="I9" s="148"/>
    </row>
    <row r="10" spans="1:9" ht="20.100000000000001" customHeight="1" x14ac:dyDescent="0.25">
      <c r="A10" s="144" t="s">
        <v>4579</v>
      </c>
      <c r="B10" s="145">
        <v>1.12E-2</v>
      </c>
      <c r="C10" s="146">
        <v>1.12E-2</v>
      </c>
      <c r="D10" s="147"/>
      <c r="E10" s="3"/>
      <c r="F10" s="144" t="s">
        <v>4579</v>
      </c>
      <c r="G10" s="145">
        <v>5.5999999999999999E-3</v>
      </c>
      <c r="H10" s="146">
        <v>5.5999999999999999E-3</v>
      </c>
      <c r="I10" s="148"/>
    </row>
    <row r="11" spans="1:9" ht="20.100000000000001" customHeight="1" x14ac:dyDescent="0.25">
      <c r="A11" s="144" t="s">
        <v>4580</v>
      </c>
      <c r="B11" s="145">
        <v>9.1000000000000004E-3</v>
      </c>
      <c r="C11" s="146">
        <v>9.1000000000000004E-3</v>
      </c>
      <c r="D11" s="147"/>
      <c r="E11" s="3"/>
      <c r="F11" s="144" t="s">
        <v>4580</v>
      </c>
      <c r="G11" s="145">
        <v>8.5000000000000006E-3</v>
      </c>
      <c r="H11" s="146">
        <v>8.5000000000000006E-3</v>
      </c>
      <c r="I11" s="148"/>
    </row>
    <row r="12" spans="1:9" ht="20.100000000000001" customHeight="1" x14ac:dyDescent="0.25">
      <c r="A12" s="144" t="s">
        <v>208</v>
      </c>
      <c r="B12" s="145">
        <v>6.7799999999999999E-2</v>
      </c>
      <c r="C12" s="146">
        <v>6.7799999999999999E-2</v>
      </c>
      <c r="D12" s="147"/>
      <c r="E12" s="3"/>
      <c r="F12" s="144" t="s">
        <v>208</v>
      </c>
      <c r="G12" s="145">
        <v>3.5000000000000003E-2</v>
      </c>
      <c r="H12" s="146">
        <v>3.5000000000000003E-2</v>
      </c>
      <c r="I12" s="148"/>
    </row>
    <row r="13" spans="1:9" ht="20.100000000000001" customHeight="1" x14ac:dyDescent="0.25">
      <c r="A13" s="144" t="s">
        <v>4581</v>
      </c>
      <c r="B13" s="145">
        <v>6.4999999999999997E-3</v>
      </c>
      <c r="C13" s="146">
        <v>6.4999999999999997E-3</v>
      </c>
      <c r="D13" s="147"/>
      <c r="E13" s="3"/>
      <c r="F13" s="144" t="s">
        <v>4581</v>
      </c>
      <c r="G13" s="145">
        <v>6.4999999999999997E-3</v>
      </c>
      <c r="H13" s="146">
        <v>6.4999999999999997E-3</v>
      </c>
      <c r="I13" s="148"/>
    </row>
    <row r="14" spans="1:9" ht="20.100000000000001" customHeight="1" x14ac:dyDescent="0.25">
      <c r="A14" s="144" t="s">
        <v>4582</v>
      </c>
      <c r="B14" s="145">
        <v>0.03</v>
      </c>
      <c r="C14" s="146">
        <v>0.03</v>
      </c>
      <c r="D14" s="147"/>
      <c r="E14" s="3"/>
      <c r="F14" s="144" t="s">
        <v>4582</v>
      </c>
      <c r="G14" s="145">
        <v>0.03</v>
      </c>
      <c r="H14" s="146">
        <v>0.03</v>
      </c>
      <c r="I14" s="148"/>
    </row>
    <row r="15" spans="1:9" ht="20.100000000000001" customHeight="1" x14ac:dyDescent="0.25">
      <c r="A15" s="144" t="s">
        <v>4583</v>
      </c>
      <c r="B15" s="145">
        <v>0</v>
      </c>
      <c r="C15" s="146">
        <v>4.4999999999999998E-2</v>
      </c>
      <c r="D15" s="147"/>
      <c r="E15" s="3"/>
      <c r="F15" s="144" t="s">
        <v>4583</v>
      </c>
      <c r="G15" s="145">
        <v>0</v>
      </c>
      <c r="H15" s="146">
        <v>4.4999999999999998E-2</v>
      </c>
      <c r="I15" s="148"/>
    </row>
    <row r="16" spans="1:9" ht="20.100000000000001" customHeight="1" x14ac:dyDescent="0.25">
      <c r="A16" s="144" t="s">
        <v>4584</v>
      </c>
      <c r="B16" s="145">
        <v>6.0000000000000001E-3</v>
      </c>
      <c r="C16" s="146">
        <v>6.0000000000000001E-3</v>
      </c>
      <c r="D16" s="147"/>
      <c r="E16" s="3"/>
      <c r="F16" s="144" t="s">
        <v>4584</v>
      </c>
      <c r="G16" s="145">
        <v>0</v>
      </c>
      <c r="H16" s="146">
        <v>0</v>
      </c>
      <c r="I16" s="148"/>
    </row>
    <row r="17" spans="1:9" ht="24.95" customHeight="1" thickBot="1" x14ac:dyDescent="0.3">
      <c r="A17" s="149" t="s">
        <v>4569</v>
      </c>
      <c r="B17" s="229">
        <f>ROUND(((1+B8+B9+B10)*(1+B11)*(1+B12))/(1-(B13+B14+B15+B16))-1,4)</f>
        <v>0.18629999999999999</v>
      </c>
      <c r="C17" s="230">
        <f>ROUND(((1+C8+C9+C10)*(1+C11)*(1+C12))/(1-(C13+C14+C15+C16))-1,4)</f>
        <v>0.24479999999999999</v>
      </c>
      <c r="D17" s="147"/>
      <c r="E17" s="3"/>
      <c r="F17" s="150" t="s">
        <v>4570</v>
      </c>
      <c r="G17" s="229">
        <f>ROUND(((1+G8+G9+G10)*(1+G11)*(1+G12))/(1-(G13+G14+G15+G16))-1,4)</f>
        <v>0.11269999999999999</v>
      </c>
      <c r="H17" s="231">
        <f>ROUND(((1+H8+H9+H10)*(1+H11)*(1+H12))/(1-(H13+H14+H15+H16))-1,4)</f>
        <v>0.16719999999999999</v>
      </c>
      <c r="I17" s="148"/>
    </row>
    <row r="18" spans="1:9" x14ac:dyDescent="0.25">
      <c r="A18" s="151"/>
      <c r="B18" s="3"/>
      <c r="C18" s="3"/>
      <c r="D18" s="143"/>
      <c r="E18" s="4"/>
      <c r="F18" s="151"/>
      <c r="G18" s="3"/>
      <c r="H18" s="3"/>
      <c r="I18" s="143"/>
    </row>
    <row r="19" spans="1:9" ht="24.95" customHeight="1" x14ac:dyDescent="0.25">
      <c r="A19" s="232" t="s">
        <v>4585</v>
      </c>
      <c r="B19" s="233"/>
      <c r="C19" s="233"/>
      <c r="D19" s="234"/>
      <c r="E19" s="235"/>
      <c r="F19" s="232" t="s">
        <v>4586</v>
      </c>
      <c r="G19" s="233"/>
      <c r="H19" s="233"/>
      <c r="I19" s="234"/>
    </row>
    <row r="20" spans="1:9" ht="20.100000000000001" customHeight="1" x14ac:dyDescent="0.25">
      <c r="A20" s="236" t="s">
        <v>4571</v>
      </c>
      <c r="B20" s="237" t="s">
        <v>4587</v>
      </c>
      <c r="C20" s="237" t="s">
        <v>4588</v>
      </c>
      <c r="D20" s="238" t="s">
        <v>4589</v>
      </c>
      <c r="E20" s="235"/>
      <c r="F20" s="236" t="s">
        <v>4571</v>
      </c>
      <c r="G20" s="237" t="s">
        <v>4587</v>
      </c>
      <c r="H20" s="237" t="s">
        <v>4588</v>
      </c>
      <c r="I20" s="238" t="s">
        <v>4589</v>
      </c>
    </row>
    <row r="21" spans="1:9" ht="20.100000000000001" customHeight="1" x14ac:dyDescent="0.25">
      <c r="A21" s="239" t="s">
        <v>4577</v>
      </c>
      <c r="B21" s="240">
        <v>0.03</v>
      </c>
      <c r="C21" s="240">
        <v>0.04</v>
      </c>
      <c r="D21" s="241">
        <v>5.5E-2</v>
      </c>
      <c r="E21" s="242"/>
      <c r="F21" s="239" t="s">
        <v>4577</v>
      </c>
      <c r="G21" s="240">
        <v>1.4999999999999999E-2</v>
      </c>
      <c r="H21" s="240">
        <v>3.4500000000000003E-2</v>
      </c>
      <c r="I21" s="241">
        <v>4.4900000000000002E-2</v>
      </c>
    </row>
    <row r="22" spans="1:9" ht="20.100000000000001" customHeight="1" x14ac:dyDescent="0.25">
      <c r="A22" s="239" t="s">
        <v>4578</v>
      </c>
      <c r="B22" s="240">
        <v>8.0000000000000002E-3</v>
      </c>
      <c r="C22" s="240">
        <v>8.0000000000000002E-3</v>
      </c>
      <c r="D22" s="241">
        <v>0.01</v>
      </c>
      <c r="E22" s="242"/>
      <c r="F22" s="239" t="s">
        <v>4578</v>
      </c>
      <c r="G22" s="240">
        <v>3.0000000000000001E-3</v>
      </c>
      <c r="H22" s="240">
        <v>4.7999999999999996E-3</v>
      </c>
      <c r="I22" s="241">
        <v>8.2000000000000007E-3</v>
      </c>
    </row>
    <row r="23" spans="1:9" ht="20.100000000000001" customHeight="1" x14ac:dyDescent="0.25">
      <c r="A23" s="239" t="s">
        <v>4579</v>
      </c>
      <c r="B23" s="240">
        <v>9.7000000000000003E-3</v>
      </c>
      <c r="C23" s="240">
        <v>1.2699999999999999E-2</v>
      </c>
      <c r="D23" s="241">
        <v>1.2699999999999999E-2</v>
      </c>
      <c r="E23" s="242"/>
      <c r="F23" s="239" t="s">
        <v>4579</v>
      </c>
      <c r="G23" s="240">
        <v>5.5999999999999999E-3</v>
      </c>
      <c r="H23" s="240">
        <v>8.5000000000000006E-3</v>
      </c>
      <c r="I23" s="241">
        <v>8.8999999999999999E-3</v>
      </c>
    </row>
    <row r="24" spans="1:9" ht="20.100000000000001" customHeight="1" x14ac:dyDescent="0.25">
      <c r="A24" s="239" t="s">
        <v>4580</v>
      </c>
      <c r="B24" s="240">
        <v>5.8999999999999999E-3</v>
      </c>
      <c r="C24" s="240">
        <v>1.23E-2</v>
      </c>
      <c r="D24" s="241">
        <v>1.3899999999999999E-2</v>
      </c>
      <c r="E24" s="242"/>
      <c r="F24" s="239" t="s">
        <v>4580</v>
      </c>
      <c r="G24" s="240">
        <v>8.5000000000000006E-3</v>
      </c>
      <c r="H24" s="240">
        <v>8.5000000000000006E-3</v>
      </c>
      <c r="I24" s="241">
        <v>1.11E-2</v>
      </c>
    </row>
    <row r="25" spans="1:9" ht="20.100000000000001" customHeight="1" x14ac:dyDescent="0.25">
      <c r="A25" s="239" t="s">
        <v>208</v>
      </c>
      <c r="B25" s="240">
        <v>6.1600000000000002E-2</v>
      </c>
      <c r="C25" s="240">
        <v>7.400000000000001E-2</v>
      </c>
      <c r="D25" s="241">
        <v>8.9599999999999999E-2</v>
      </c>
      <c r="E25" s="242"/>
      <c r="F25" s="239" t="s">
        <v>208</v>
      </c>
      <c r="G25" s="240">
        <v>3.5000000000000003E-2</v>
      </c>
      <c r="H25" s="240">
        <v>5.11E-2</v>
      </c>
      <c r="I25" s="241">
        <v>6.2199999999999998E-2</v>
      </c>
    </row>
    <row r="26" spans="1:9" ht="24.95" customHeight="1" thickBot="1" x14ac:dyDescent="0.3">
      <c r="A26" s="243" t="s">
        <v>4569</v>
      </c>
      <c r="B26" s="244">
        <v>0.2034</v>
      </c>
      <c r="C26" s="244">
        <v>0.22120000000000001</v>
      </c>
      <c r="D26" s="245">
        <v>0.25</v>
      </c>
      <c r="E26" s="242"/>
      <c r="F26" s="246" t="s">
        <v>4570</v>
      </c>
      <c r="G26" s="244">
        <v>0.111</v>
      </c>
      <c r="H26" s="244">
        <v>0.14019999999999999</v>
      </c>
      <c r="I26" s="245">
        <v>0.16800000000000001</v>
      </c>
    </row>
    <row r="27" spans="1:9" x14ac:dyDescent="0.25">
      <c r="A27" s="152"/>
      <c r="B27" s="153"/>
      <c r="C27" s="153"/>
      <c r="D27" s="153"/>
      <c r="E27" s="3"/>
      <c r="F27" s="152"/>
      <c r="G27" s="153"/>
      <c r="H27" s="153"/>
      <c r="I27" s="153"/>
    </row>
    <row r="28" spans="1:9" x14ac:dyDescent="0.25">
      <c r="A28" s="152"/>
      <c r="B28" s="153"/>
      <c r="C28" s="153"/>
      <c r="D28" s="153"/>
      <c r="E28" s="3"/>
      <c r="F28" s="152"/>
      <c r="G28" s="153"/>
      <c r="H28" s="153"/>
      <c r="I28" s="153"/>
    </row>
    <row r="29" spans="1:9" x14ac:dyDescent="0.25">
      <c r="A29" s="106"/>
      <c r="B29" s="106"/>
      <c r="C29" s="106"/>
      <c r="D29" s="106"/>
      <c r="E29" s="106"/>
      <c r="F29" s="107"/>
      <c r="G29" s="106"/>
      <c r="H29" s="106"/>
      <c r="I29" s="106"/>
    </row>
    <row r="30" spans="1:9" x14ac:dyDescent="0.25">
      <c r="A30" s="106"/>
      <c r="B30" s="106"/>
      <c r="C30" s="106"/>
      <c r="D30" s="106"/>
      <c r="E30" s="106"/>
      <c r="F30" s="106"/>
      <c r="G30" s="106"/>
      <c r="H30" s="106"/>
      <c r="I30" s="106"/>
    </row>
    <row r="31" spans="1:9" x14ac:dyDescent="0.25">
      <c r="A31" s="106"/>
      <c r="B31" s="106"/>
      <c r="C31" s="106"/>
      <c r="D31" s="106"/>
      <c r="E31" s="106"/>
      <c r="F31" s="106"/>
      <c r="G31" s="106"/>
      <c r="H31" s="106"/>
      <c r="I31" s="106"/>
    </row>
    <row r="32" spans="1:9" x14ac:dyDescent="0.25">
      <c r="A32" s="106"/>
      <c r="B32" s="106"/>
      <c r="C32" s="106"/>
      <c r="D32" s="106"/>
      <c r="E32" s="106"/>
      <c r="F32" s="106"/>
      <c r="G32" s="106"/>
      <c r="H32" s="106"/>
      <c r="I32" s="106"/>
    </row>
    <row r="33" spans="1:9" x14ac:dyDescent="0.25">
      <c r="A33" s="106"/>
      <c r="B33" s="106"/>
      <c r="C33" s="106"/>
      <c r="D33" s="106"/>
      <c r="E33" s="106"/>
      <c r="F33" s="106"/>
      <c r="G33" s="106"/>
      <c r="H33" s="106"/>
      <c r="I33" s="106"/>
    </row>
    <row r="34" spans="1:9" x14ac:dyDescent="0.25">
      <c r="A34" s="106"/>
      <c r="B34" s="106"/>
      <c r="C34" s="106"/>
      <c r="D34" s="106"/>
      <c r="E34" s="106"/>
      <c r="F34" s="106"/>
      <c r="G34" s="106"/>
      <c r="H34" s="106"/>
      <c r="I34" s="106"/>
    </row>
    <row r="35" spans="1:9" x14ac:dyDescent="0.25">
      <c r="A35" s="106"/>
      <c r="B35" s="106"/>
      <c r="C35" s="106"/>
      <c r="D35" s="106"/>
      <c r="E35" s="106"/>
      <c r="F35" s="106"/>
      <c r="G35" s="106"/>
      <c r="H35" s="106"/>
      <c r="I35" s="106"/>
    </row>
    <row r="36" spans="1:9" x14ac:dyDescent="0.25">
      <c r="A36" s="106"/>
      <c r="B36" s="106"/>
      <c r="C36" s="106"/>
      <c r="D36" s="106"/>
      <c r="E36" s="106"/>
      <c r="F36" s="106"/>
      <c r="G36" s="106"/>
      <c r="H36" s="106"/>
      <c r="I36" s="106"/>
    </row>
    <row r="37" spans="1:9" x14ac:dyDescent="0.25">
      <c r="A37" s="106"/>
      <c r="B37" s="106"/>
      <c r="C37" s="106"/>
      <c r="D37" s="106"/>
      <c r="E37" s="106"/>
      <c r="F37" s="106"/>
      <c r="G37" s="106"/>
      <c r="H37" s="106"/>
      <c r="I37" s="106"/>
    </row>
    <row r="38" spans="1:9" x14ac:dyDescent="0.25">
      <c r="A38" s="106"/>
      <c r="B38" s="106"/>
      <c r="C38" s="106"/>
      <c r="D38" s="106"/>
      <c r="E38" s="106"/>
      <c r="F38" s="106"/>
      <c r="G38" s="106"/>
      <c r="H38" s="106"/>
      <c r="I38" s="106"/>
    </row>
    <row r="39" spans="1:9" x14ac:dyDescent="0.25">
      <c r="A39" s="106"/>
      <c r="B39" s="106"/>
      <c r="C39" s="106"/>
      <c r="D39" s="106"/>
      <c r="E39" s="106"/>
      <c r="F39" s="106"/>
      <c r="G39" s="106"/>
      <c r="H39" s="106"/>
      <c r="I39" s="106"/>
    </row>
    <row r="40" spans="1:9" x14ac:dyDescent="0.25">
      <c r="A40" s="106"/>
      <c r="B40" s="106"/>
      <c r="C40" s="106"/>
      <c r="D40" s="106"/>
      <c r="E40" s="106"/>
      <c r="F40" s="106"/>
      <c r="G40" s="106"/>
      <c r="H40" s="106"/>
      <c r="I40" s="106"/>
    </row>
    <row r="41" spans="1:9" x14ac:dyDescent="0.25">
      <c r="A41" s="106"/>
      <c r="B41" s="106"/>
      <c r="C41" s="106"/>
      <c r="D41" s="106"/>
      <c r="E41" s="106"/>
      <c r="F41" s="106"/>
      <c r="G41" s="106"/>
      <c r="H41" s="106"/>
      <c r="I41" s="106"/>
    </row>
    <row r="42" spans="1:9" x14ac:dyDescent="0.25">
      <c r="A42" s="106"/>
      <c r="B42" s="106"/>
      <c r="C42" s="106"/>
      <c r="D42" s="106"/>
      <c r="E42" s="106"/>
      <c r="F42" s="106"/>
      <c r="G42" s="106"/>
      <c r="H42" s="106"/>
      <c r="I42" s="106"/>
    </row>
    <row r="43" spans="1:9" x14ac:dyDescent="0.25">
      <c r="A43" s="106"/>
      <c r="B43" s="106"/>
      <c r="C43" s="106"/>
      <c r="D43" s="106"/>
      <c r="E43" s="106"/>
      <c r="F43" s="106"/>
      <c r="G43" s="106"/>
      <c r="H43" s="106"/>
      <c r="I43" s="106"/>
    </row>
    <row r="44" spans="1:9" x14ac:dyDescent="0.25">
      <c r="A44" s="106"/>
      <c r="B44" s="106"/>
      <c r="C44" s="106"/>
      <c r="D44" s="106"/>
      <c r="E44" s="106"/>
      <c r="F44" s="106"/>
      <c r="G44" s="106"/>
      <c r="H44" s="106"/>
      <c r="I44" s="106"/>
    </row>
    <row r="45" spans="1:9" x14ac:dyDescent="0.25">
      <c r="A45" s="106"/>
      <c r="B45" s="106"/>
      <c r="C45" s="106"/>
      <c r="D45" s="106"/>
      <c r="E45" s="106"/>
      <c r="F45" s="106"/>
      <c r="G45" s="106"/>
      <c r="H45" s="106"/>
      <c r="I45" s="106"/>
    </row>
    <row r="46" spans="1:9" x14ac:dyDescent="0.25">
      <c r="A46" s="106"/>
      <c r="B46" s="106"/>
      <c r="C46" s="106"/>
      <c r="D46" s="106"/>
      <c r="E46" s="106"/>
      <c r="F46" s="106"/>
      <c r="G46" s="106"/>
      <c r="H46" s="106"/>
      <c r="I46" s="106"/>
    </row>
    <row r="47" spans="1:9" x14ac:dyDescent="0.25">
      <c r="A47" s="106"/>
      <c r="B47" s="106"/>
      <c r="C47" s="106"/>
      <c r="D47" s="106"/>
      <c r="E47" s="106"/>
      <c r="F47" s="106"/>
      <c r="G47" s="106"/>
      <c r="H47" s="106"/>
      <c r="I47" s="106"/>
    </row>
    <row r="48" spans="1:9" ht="15.75" x14ac:dyDescent="0.25">
      <c r="A48" s="193" t="s">
        <v>4590</v>
      </c>
      <c r="B48" s="193"/>
      <c r="C48" s="193"/>
      <c r="D48" s="193"/>
      <c r="E48" s="193"/>
      <c r="F48" s="193"/>
      <c r="G48" s="193"/>
      <c r="H48" s="193"/>
      <c r="I48" s="193"/>
    </row>
    <row r="49" spans="1:9" x14ac:dyDescent="0.25">
      <c r="A49" s="106"/>
      <c r="B49" s="106"/>
      <c r="C49" s="106"/>
      <c r="D49" s="106"/>
      <c r="E49" s="106"/>
      <c r="F49" s="106"/>
      <c r="G49" s="106"/>
      <c r="H49" s="106"/>
      <c r="I49" s="106"/>
    </row>
    <row r="50" spans="1:9" x14ac:dyDescent="0.25">
      <c r="A50" s="106"/>
      <c r="B50" s="106"/>
      <c r="C50" s="106"/>
      <c r="D50" s="106"/>
      <c r="E50" s="106"/>
      <c r="F50" s="106"/>
      <c r="G50" s="106"/>
      <c r="H50" s="106"/>
      <c r="I50" s="106"/>
    </row>
  </sheetData>
  <sheetProtection algorithmName="SHA-512" hashValue="9NeizFJ7diply5BOyUUm9RdaHzyjUU6FJvPdICukOhk1M2ny9Qr2rUp6IEiztAxP3yZoQXuX1ChJhNduws504g==" saltValue="UtEAzgjTGRXQU6xH1POSVw==" spinCount="100000" sheet="1" objects="1" scenarios="1"/>
  <mergeCells count="3">
    <mergeCell ref="A5:A7"/>
    <mergeCell ref="F5:F7"/>
    <mergeCell ref="A48:I48"/>
  </mergeCells>
  <printOptions horizontalCentered="1"/>
  <pageMargins left="0.19685039370078741" right="0.19685039370078741" top="1.3779527559055118" bottom="0.59055118110236227" header="0.19685039370078741" footer="0.19685039370078741"/>
  <pageSetup paperSize="9" scale="53"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Orçamentária</vt:lpstr>
      <vt:lpstr>Composições</vt:lpstr>
      <vt:lpstr>Comp.Aux1</vt:lpstr>
      <vt:lpstr>Comp.Aux2</vt:lpstr>
      <vt:lpstr>BDI</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Thauler Ferreira Bispo de Souza</cp:lastModifiedBy>
  <cp:lastPrinted>2020-08-06T20:58:08Z</cp:lastPrinted>
  <dcterms:created xsi:type="dcterms:W3CDTF">2020-07-07T13:57:42Z</dcterms:created>
  <dcterms:modified xsi:type="dcterms:W3CDTF">2020-08-07T01:30:03Z</dcterms:modified>
</cp:coreProperties>
</file>